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OB BAGS\2023\2023-142 - Shingles eligibility calculator\"/>
    </mc:Choice>
  </mc:AlternateContent>
  <xr:revisionPtr revIDLastSave="0" documentId="8_{1C2B04E6-AC51-41CB-9D9E-36A3CFEF0C6C}" xr6:coauthVersionLast="47" xr6:coauthVersionMax="47" xr10:uidLastSave="{00000000-0000-0000-0000-000000000000}"/>
  <workbookProtection workbookAlgorithmName="SHA-512" workbookHashValue="NSiRXPngZeVxstlZ+jgvZxG385f0ixmJYBrcuQs6BG8S2itByUIUxmEj+gaqbQ7Kjrk/we8Q5qo/PFdrIjau9g==" workbookSaltValue="+2X8cObnaDRnxog7BT/vVQ==" workbookSpinCount="100000" lockStructure="1"/>
  <bookViews>
    <workbookView xWindow="-120" yWindow="-120" windowWidth="34373" windowHeight="18827" activeTab="3" xr2:uid="{47AAC46B-C955-4DB4-BD05-2A8BD6DFAE07}"/>
  </bookViews>
  <sheets>
    <sheet name="Calculator" sheetId="2" r:id="rId1"/>
    <sheet name="2nd Dose Due" sheetId="3" r:id="rId2"/>
    <sheet name="Cohort Eligible" sheetId="4" r:id="rId3"/>
    <sheet name="Summary of Changes" sheetId="5" r:id="rId4"/>
    <sheet name="Sheet1" sheetId="1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U11" i="2"/>
  <c r="V11" i="2"/>
  <c r="W11" i="2"/>
  <c r="X11" i="2"/>
  <c r="Y11" i="2"/>
  <c r="Z11" i="2"/>
  <c r="AA11" i="2"/>
  <c r="E10" i="4"/>
  <c r="T12" i="2"/>
  <c r="T8" i="2"/>
  <c r="T11" i="2"/>
  <c r="T10" i="2"/>
  <c r="H10" i="2"/>
  <c r="D12" i="1"/>
  <c r="B21" i="1" s="1"/>
  <c r="B24" i="1"/>
  <c r="D2" i="1"/>
  <c r="D3" i="1" s="1"/>
  <c r="D4" i="1" s="1"/>
  <c r="D5" i="1" s="1"/>
  <c r="D6" i="1" s="1"/>
  <c r="D7" i="1" s="1"/>
  <c r="D8" i="1" s="1"/>
  <c r="D9" i="1" s="1"/>
  <c r="D10" i="1" s="1"/>
  <c r="D11" i="1" s="1"/>
  <c r="B20" i="1"/>
  <c r="S25" i="1"/>
  <c r="K4" i="1"/>
  <c r="S23" i="1"/>
  <c r="S22" i="1"/>
  <c r="S21" i="1"/>
  <c r="S20" i="1"/>
  <c r="F17" i="1" l="1"/>
  <c r="C24" i="1" s="1"/>
  <c r="H4" i="1"/>
  <c r="B25" i="1"/>
  <c r="C20" i="1" l="1"/>
  <c r="I20" i="1"/>
  <c r="J20" i="1" s="1"/>
  <c r="I21" i="1"/>
  <c r="J21" i="1" s="1"/>
  <c r="K21" i="1" s="1"/>
  <c r="C21" i="1"/>
  <c r="H7" i="1"/>
  <c r="K20" i="1"/>
  <c r="D20" i="1"/>
  <c r="D21" i="1"/>
  <c r="E21" i="1"/>
  <c r="E20" i="1"/>
  <c r="F20" i="1"/>
  <c r="F21" i="1"/>
  <c r="B46" i="1"/>
  <c r="B57" i="1"/>
  <c r="B52" i="1"/>
  <c r="B53" i="1"/>
  <c r="B54" i="1"/>
  <c r="S24" i="1" l="1"/>
  <c r="B48" i="1" l="1"/>
  <c r="B49" i="1"/>
  <c r="B50" i="1"/>
  <c r="B51" i="1"/>
  <c r="B47" i="1"/>
  <c r="B55" i="1"/>
  <c r="B56" i="1"/>
  <c r="I4" i="1"/>
  <c r="I5" i="1"/>
  <c r="E34" i="1"/>
  <c r="C10" i="4"/>
  <c r="AB10" i="1"/>
  <c r="F34" i="1" l="1"/>
  <c r="F39" i="1"/>
  <c r="H1" i="1" s="1"/>
  <c r="H5" i="1" s="1"/>
  <c r="E11" i="4"/>
  <c r="B14" i="1"/>
  <c r="C14" i="1" s="1"/>
  <c r="B16" i="1"/>
  <c r="C16" i="1" s="1"/>
  <c r="B15" i="1"/>
  <c r="C15" i="1" s="1"/>
  <c r="L8" i="3" s="1"/>
  <c r="J10" i="1" l="1"/>
  <c r="F16" i="1"/>
  <c r="L10" i="1" s="1"/>
  <c r="K10" i="1"/>
  <c r="I10" i="1"/>
  <c r="H2" i="1"/>
  <c r="H3" i="1"/>
  <c r="I3" i="1"/>
  <c r="H6" i="1" l="1"/>
  <c r="H21" i="1" s="1"/>
  <c r="G20" i="1"/>
  <c r="G21" i="1"/>
  <c r="L21" i="1" l="1"/>
  <c r="H20" i="1"/>
  <c r="L20" i="1" s="1"/>
  <c r="H8" i="1"/>
  <c r="C13" i="2" l="1"/>
  <c r="D109" i="2" s="1"/>
  <c r="C12" i="2"/>
  <c r="D15" i="2" l="1"/>
  <c r="D14" i="2"/>
  <c r="J6" i="1"/>
  <c r="C17" i="2" s="1"/>
</calcChain>
</file>

<file path=xl/sharedStrings.xml><?xml version="1.0" encoding="utf-8"?>
<sst xmlns="http://schemas.openxmlformats.org/spreadsheetml/2006/main" count="163" uniqueCount="106">
  <si>
    <t>2023-24</t>
  </si>
  <si>
    <t>2024-25</t>
  </si>
  <si>
    <t>2025-26</t>
  </si>
  <si>
    <t>2026-27</t>
  </si>
  <si>
    <t>2027-28</t>
  </si>
  <si>
    <t>Max Age</t>
  </si>
  <si>
    <t>End of Yr</t>
  </si>
  <si>
    <t>Age</t>
  </si>
  <si>
    <t>70-80?</t>
  </si>
  <si>
    <t>65-?</t>
  </si>
  <si>
    <t>50+ IC</t>
  </si>
  <si>
    <t>No</t>
  </si>
  <si>
    <t>Overall</t>
  </si>
  <si>
    <t>2028-29</t>
  </si>
  <si>
    <t>2029-30</t>
  </si>
  <si>
    <t>2030-31</t>
  </si>
  <si>
    <t>2031-32</t>
  </si>
  <si>
    <t>2032-33</t>
  </si>
  <si>
    <t>Min Age</t>
  </si>
  <si>
    <t>- Not Eligible for Vaccination</t>
  </si>
  <si>
    <t>+6mths</t>
  </si>
  <si>
    <t>+12mths</t>
  </si>
  <si>
    <t>+8weeks</t>
  </si>
  <si>
    <t>Only Shingrix can be used to vaccinate this individual</t>
  </si>
  <si>
    <t>A patient will be eligible from their 50th bithday (no upper age limit)</t>
  </si>
  <si>
    <t>Patients who will turn 65 or 70 between 1st September 2023 - 31st August 2024</t>
  </si>
  <si>
    <t>Patients who will turn 65 or 70 between 1st September 2024 - 31st August 2025</t>
  </si>
  <si>
    <t>Patients who will turn 65 or 70 between 1st September 2025 - 31st August 2026</t>
  </si>
  <si>
    <t>Patients who will turn 65 or 70 between 1st September 2026 - 31st August 2027</t>
  </si>
  <si>
    <t>Patients who will turn 65 or 70 between 1st September 2027 - 31st August 2028</t>
  </si>
  <si>
    <t>Patients who will turn 60 or 65 between 1st September 2028 - 31st August 2029</t>
  </si>
  <si>
    <t>Patients who will turn 60 or 65 between 1st September 2029 - 31st August 2030</t>
  </si>
  <si>
    <t>Patients who will turn 60 or 65 between 1st September 2030 - 31st August 2031</t>
  </si>
  <si>
    <t>Patients who will turn 60 or 65 between 1st September 2031 - 31st August 2032</t>
  </si>
  <si>
    <t>Patients who will turn 60 or 65 between 1st September 2032 - 31st August 2033</t>
  </si>
  <si>
    <t>Patients born between 1 September 1958 to 
31 August 1959</t>
  </si>
  <si>
    <t>Patients born between 1 September 1958 to 
31 August 1960</t>
  </si>
  <si>
    <t>Patients born between 1 September 1958 to 
31 August 1961</t>
  </si>
  <si>
    <t>Patients born between 1 September 1958 to 
31 August 1962</t>
  </si>
  <si>
    <t>Patients born on or before 31 August 1953 up until their 80th birthday</t>
  </si>
  <si>
    <t>Patients born on or before 31 August 1954 up until their 80th birthday</t>
  </si>
  <si>
    <t>Patients born on or before 31 August 1955 up until their 80th birthday</t>
  </si>
  <si>
    <t>Patients born on or before 31 August 1956 up until their 80th birthday</t>
  </si>
  <si>
    <t>Patients born on or before 31 August 1957 up until their 80th birthday</t>
  </si>
  <si>
    <t>Patients born on or before 31 August 1963 up until their 80th birthday</t>
  </si>
  <si>
    <t>Patients born on or before 31 August 1964 up until their 80th birthday</t>
  </si>
  <si>
    <t>Patients born on or before 31 August 1965 up until their 80th birthday</t>
  </si>
  <si>
    <t>Patients born on or before 31 August 1966 up until their 80th birthday</t>
  </si>
  <si>
    <t>Patients born on or before 31 August 1967 up until their 80th birthday</t>
  </si>
  <si>
    <t>Patients born between 1 September 1968 to 
31 August 1969</t>
  </si>
  <si>
    <t>Patients born between 1 September 1968 to 
31 August 1970</t>
  </si>
  <si>
    <t>Patients born between 1 September 1968 to 
31 August 1971</t>
  </si>
  <si>
    <t>Patients born between 1 September 1968 to 
31 August 1972</t>
  </si>
  <si>
    <t xml:space="preserve"> </t>
  </si>
  <si>
    <t>Definition of severe immunosuppression for the Shingrix vaccine programme</t>
  </si>
  <si>
    <t>- Second dose to be given 6 months to 12 months AFTER the first dose</t>
  </si>
  <si>
    <t>- Second dose to be given 8 weeks to 6 months AFTER the first dose</t>
  </si>
  <si>
    <t>england.swvast@nhs.net</t>
  </si>
  <si>
    <t>Chapter 28a - Green Book</t>
  </si>
  <si>
    <t>2022-23</t>
  </si>
  <si>
    <t>Patient will become eligible for vaccination on 01/09/2023</t>
  </si>
  <si>
    <t>Age on day</t>
  </si>
  <si>
    <t>Ongoing</t>
  </si>
  <si>
    <t>Age on 31st August</t>
  </si>
  <si>
    <t>Immunocompromised</t>
  </si>
  <si>
    <t>under 50</t>
  </si>
  <si>
    <t>50+</t>
  </si>
  <si>
    <t>70-80</t>
  </si>
  <si>
    <t>First Dob 65</t>
  </si>
  <si>
    <t>First Dob 60</t>
  </si>
  <si>
    <t>Eligible 60</t>
  </si>
  <si>
    <t>Eligible 65</t>
  </si>
  <si>
    <t>eligible 70</t>
  </si>
  <si>
    <t>79?</t>
  </si>
  <si>
    <t>Unless contraindicated Zostavax should be offered for vaccination if still available (otherwise Shingrix can be offered)</t>
  </si>
  <si>
    <t>Patient is eligible for vaccination (UNLESS they have been vaccinated for Shingles previously)</t>
  </si>
  <si>
    <t>Age on 1st Sept</t>
  </si>
  <si>
    <t>Unless contraindicated Zostavax should be offered for vaccination</t>
  </si>
  <si>
    <t>69 now but 70 by 31st</t>
  </si>
  <si>
    <t>Patient is eligible for vaccination (so long as they have not been vaccinated for Shingles previously) *</t>
  </si>
  <si>
    <t xml:space="preserve">This tool has been developed by Mark Frost - Screening &amp; Immunisation Manager.  If you have any queries about this tool please email </t>
  </si>
  <si>
    <t>More detailed Guidance can be found in the link below</t>
  </si>
  <si>
    <t>Shingles Vaccination: Guidance for Healthcare Practitioners</t>
  </si>
  <si>
    <t>Eligible for vaccination on date selected?</t>
  </si>
  <si>
    <t>Age at appointment</t>
  </si>
  <si>
    <t xml:space="preserve">This tool has been developed by Mark Frost. If you have any queries about this tool please email </t>
  </si>
  <si>
    <r>
      <t xml:space="preserve">This calculator is for the second dose of </t>
    </r>
    <r>
      <rPr>
        <b/>
        <sz val="20"/>
        <color rgb="FF90C53D"/>
        <rFont val="Arial"/>
        <family val="2"/>
      </rPr>
      <t>SHINGRIX</t>
    </r>
    <r>
      <rPr>
        <sz val="20"/>
        <color theme="0"/>
        <rFont val="Arial"/>
        <family val="2"/>
      </rPr>
      <t xml:space="preserve"> vaccine only</t>
    </r>
  </si>
  <si>
    <t>For more information see</t>
  </si>
  <si>
    <t>All Other Patients Eligible (if not already vaccinated)</t>
  </si>
  <si>
    <t>Changes to the NHS Shingles Vaccination Programme from 1 September 2023</t>
  </si>
  <si>
    <t>Product code: S23CALC; UK Health Security Agency Gateway Number 2023260</t>
  </si>
  <si>
    <t>Chapter 28a – Green Book</t>
  </si>
  <si>
    <t>Shingrix 2nd dose schedule</t>
  </si>
  <si>
    <r>
      <t xml:space="preserve">Enter DOB of patient below
</t>
    </r>
    <r>
      <rPr>
        <sz val="15"/>
        <color theme="0"/>
        <rFont val="Arial"/>
        <family val="2"/>
      </rPr>
      <t>(dd/mm/yyyy)</t>
    </r>
  </si>
  <si>
    <r>
      <t>Enter date offering initial vaccination below</t>
    </r>
    <r>
      <rPr>
        <sz val="15"/>
        <color theme="0"/>
        <rFont val="Arial"/>
        <family val="2"/>
      </rPr>
      <t xml:space="preserve"> (dd/mm/yyyy)</t>
    </r>
  </si>
  <si>
    <r>
      <rPr>
        <b/>
        <sz val="15"/>
        <color theme="0"/>
        <rFont val="Arial"/>
        <family val="2"/>
      </rPr>
      <t xml:space="preserve">Select Yes/No if patient is severely immunosuppressed?
</t>
    </r>
    <r>
      <rPr>
        <sz val="15"/>
        <color theme="0"/>
        <rFont val="Arial"/>
        <family val="2"/>
      </rPr>
      <t>(as defined in Green Book below)</t>
    </r>
  </si>
  <si>
    <r>
      <t xml:space="preserve">Date First Dose Given
</t>
    </r>
    <r>
      <rPr>
        <sz val="15"/>
        <color theme="0"/>
        <rFont val="Arial"/>
        <family val="2"/>
      </rPr>
      <t>(dd/mm/yyyy)</t>
    </r>
  </si>
  <si>
    <r>
      <rPr>
        <b/>
        <sz val="15"/>
        <color theme="0"/>
        <rFont val="Arial"/>
        <family val="2"/>
      </rPr>
      <t xml:space="preserve">Date Range for Second Dose </t>
    </r>
    <r>
      <rPr>
        <sz val="15"/>
        <color theme="0"/>
        <rFont val="Arial"/>
        <family val="2"/>
      </rPr>
      <t xml:space="preserve">
(i.e. aim to give vaccine between these dates, but give after if this is delayed)
</t>
    </r>
    <r>
      <rPr>
        <b/>
        <sz val="15"/>
        <color rgb="FF90C53D"/>
        <rFont val="Arial"/>
        <family val="2"/>
      </rPr>
      <t>NOTE</t>
    </r>
    <r>
      <rPr>
        <sz val="15"/>
        <color theme="0"/>
        <rFont val="Arial"/>
        <family val="2"/>
      </rPr>
      <t xml:space="preserve"> – Those patients who are</t>
    </r>
    <r>
      <rPr>
        <b/>
        <sz val="15"/>
        <color theme="0"/>
        <rFont val="Arial"/>
        <family val="2"/>
      </rPr>
      <t xml:space="preserve"> NOT </t>
    </r>
    <r>
      <rPr>
        <sz val="15"/>
        <color theme="0"/>
        <rFont val="Arial"/>
        <family val="2"/>
      </rPr>
      <t>Severely Immunosuppressed</t>
    </r>
    <r>
      <rPr>
        <b/>
        <sz val="15"/>
        <color theme="0"/>
        <rFont val="Arial"/>
        <family val="2"/>
      </rPr>
      <t xml:space="preserve"> MUST </t>
    </r>
    <r>
      <rPr>
        <sz val="15"/>
        <color theme="0"/>
        <rFont val="Arial"/>
        <family val="2"/>
      </rPr>
      <t xml:space="preserve">have been given both doses by their </t>
    </r>
    <r>
      <rPr>
        <b/>
        <sz val="15"/>
        <color theme="0"/>
        <rFont val="Arial"/>
        <family val="2"/>
      </rPr>
      <t>81st Birthday</t>
    </r>
  </si>
  <si>
    <r>
      <t xml:space="preserve">Is Patient Severely Immunocompromised?
</t>
    </r>
    <r>
      <rPr>
        <sz val="15"/>
        <color theme="0"/>
        <rFont val="Arial"/>
        <family val="2"/>
      </rPr>
      <t>(as defined in Green Book)</t>
    </r>
  </si>
  <si>
    <t>Year vaccinating (1st September – 31st August)</t>
  </si>
  <si>
    <r>
      <t xml:space="preserve">If Patient Is Severely Immunocompromised
</t>
    </r>
    <r>
      <rPr>
        <sz val="15"/>
        <color theme="0"/>
        <rFont val="Arial"/>
        <family val="2"/>
      </rPr>
      <t>(see definition below)</t>
    </r>
  </si>
  <si>
    <r>
      <rPr>
        <b/>
        <sz val="13"/>
        <color theme="1"/>
        <rFont val="Arial"/>
        <family val="2"/>
      </rPr>
      <t xml:space="preserve">Individuals with primary or acquired immunodeficiency states due to conditions including:
</t>
    </r>
    <r>
      <rPr>
        <sz val="11"/>
        <color theme="1"/>
        <rFont val="Arial"/>
        <family val="2"/>
      </rPr>
      <t xml:space="preserve">• acute and chronic leukaemias, and clinically aggressive lymphomas (including Hodgkin’s lymphoma) who are less than 12 months since achieving cure
• individuals under follow up for chronic lymphoproliferative disorders including haematological malignancies such as indolent lymphoma, chronic lymphoid leukaemia, myeloma, Waldenstrom’s macroglobulinemia and other plasma cell dyscrasias (N.B: this list not exhaustive)
• immunosuppression due to HIV/AIDS with a current CD4 count of below 200 cells/μl.
• primary or acquired cellular and combined immune deficiencies – those with lymphopaenia (&lt;1,000 lymphocytes/ul) or with a functional lymphocyte disorder
• those who have received an allogeneic (cells from a donor) or an autologous (using their own cells) stem cell transplant in the previous 24 months
• those who have received a stem cell transplant more than 24 months ago but have ongoing immunosuppression or graft versus host disease (GVHD)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Individuals on immunosuppressive or immunomodulating therapy including:</t>
    </r>
    <r>
      <rPr>
        <sz val="13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• those who are receiving or have received in the past 6 months immunosuppressive chemotherapy or radiotherapy for any indication
• those who are receiving or have received in the previous 6 months immunosuppressive therapy for a solid organ transplant
• those who are receiving or have received in the previous 3 months targeted therapy for autoimmune disease, such as JAK inhibitors or biologic immune modulators including
• B-cell targeted therapies (including rituximab but for which a 6 month period should be considered immunosuppressive), monoclonal tumor necrosis factor inhibitors (TNFi), T-cell co-stimulation modulators, soluble TNF receptors, interleukin (IL)-6 receptor inhibitors.,
• IL-17 inhibitors, IL 12/23 inhibitors, IL 23 inhibitors (N.B: this list is not exhaustive)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Individuals with chronic immune mediated inflammatory disease who are receiving or have received immunosuppressive therapy</t>
    </r>
    <r>
      <rPr>
        <sz val="13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• moderate to high dose corticosteroids (equivalent ≥20mg prednisolone per day) for more than 10 days in the previous month
• long term moderate dose corticosteroids (equivalent to ≥10mg prednisolone per day for more than 4 weeks) in the previous 3 months
• any non-biological oral immune modulating drugs e.g. methotrexate &gt;20mg per week (oral and subcutaneous), azathioprine &gt;3.0mg/kg/day; 6 mercaptopurine &gt;1.5mg/kg/day, 
mycophenolate &gt;1g/day) in the previous 3 months
• certain combination therapies at individual doses lower than stated above, including those on ≥7.5mg prednisolone per day in combination with other immunosuppressants 
(other than hydroxychloroquine or sulfasalazine) and those receiving methotrexate (any dose) with leflunomide in the previous 3 months
</t>
    </r>
    <r>
      <rPr>
        <sz val="13"/>
        <color theme="1"/>
        <rFont val="Arial"/>
        <family val="2"/>
      </rPr>
      <t xml:space="preserve">
</t>
    </r>
    <r>
      <rPr>
        <b/>
        <sz val="13"/>
        <color theme="1"/>
        <rFont val="Arial"/>
        <family val="2"/>
      </rPr>
      <t>Individuals who have received a short course of high dose steroids (equivalent &gt;40mg prednisolone per day for more than a week) for any reason in the previous month.</t>
    </r>
  </si>
  <si>
    <r>
      <rPr>
        <b/>
        <sz val="13"/>
        <color theme="1"/>
        <rFont val="Arial"/>
        <family val="2"/>
      </rPr>
      <t>Immunocompetent cohort:</t>
    </r>
    <r>
      <rPr>
        <sz val="13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• The immunocompetent cohort will be expanded to offer Shingrix to individuals aged from 60 years of age, in a phased implementation over a 10-year period 
      - Individuals will remain eligible until their 80th birthday 
      - Second dose to be given 6 months to 12 months after the first dose 
      - Practice call/recall for immunocompetent individuals as they become eligible will be implemented from 1 September 2023 
• During stage 1 (1 September 2023 to 31 August 2028): 
     - Shingrix will be offered to those turning 70 and 65 years of age in each of the five years as they become eligible – individuals will remain eligible until their 80th birthday 
     - Zostavax will be offered to individuals aged 70 to 79 that were eligible for the vaccination programme before 1 September 2023 
     - Once all stocks of Zostavax are exhausted, these individuals can be offered Shingrix if they have not previously been given a shingles vaccine 
• During stage 2 (1 September 2028 to 31 August 2033): 
     - Shingrix will be offered to those turning 65 and 60 years of age in each of the five years as they become eligible 
     - From 1 September 2033 and thereafter, Shingrix will be offered routinely at 60 years of age 
     - Those who have been previously eligible (i.e. in stages 1 and 2) will remain eligible until their 80th birthday through opportunistic offer</t>
    </r>
  </si>
  <si>
    <r>
      <rPr>
        <b/>
        <sz val="14"/>
        <color theme="1"/>
        <rFont val="Arial"/>
        <family val="2"/>
      </rPr>
      <t>Severely Immunocompromised cohort:</t>
    </r>
    <r>
      <rPr>
        <sz val="11"/>
        <color theme="1"/>
        <rFont val="Arial"/>
        <family val="2"/>
      </rPr>
      <t xml:space="preserve">
• The immunocompromised cohort will be expanded to offer Shingrix to individuals aged 50 years and over, with no upper age limit 
       - Second dose to be given 8 weeks to 6 months after the first dose 
       - Practice call/recall for immunocompromised individuals as they become eligible will be implemented from 1 September 2023 
       - Additionally, catch-up call/recall for newly eligible immunocompromised individuals aged 50 to 69 years will be implemented in the first year of the revised programme – immunocompromised individuals
         represent the highest priority for vaccination given their risk of severe disease</t>
    </r>
  </si>
  <si>
    <t>Healthcare professional guidance</t>
  </si>
  <si>
    <t>Letter detailing changes to Shingles vaccination programme from 1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</si>
</sst>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3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u/>
      <sz val="10"/>
      <color theme="10"/>
      <name val="Arial"/>
      <family val="2"/>
    </font>
    <font>
      <u/>
      <sz val="12"/>
      <color theme="0"/>
      <name val="Arial"/>
      <family val="2"/>
    </font>
    <font>
      <sz val="20"/>
      <color theme="0"/>
      <name val="Arial"/>
      <family val="2"/>
    </font>
    <font>
      <b/>
      <sz val="20"/>
      <color rgb="FF90C53D"/>
      <name val="Arial"/>
      <family val="2"/>
    </font>
    <font>
      <b/>
      <u/>
      <sz val="14"/>
      <color theme="0"/>
      <name val="Arial"/>
      <family val="2"/>
    </font>
    <font>
      <sz val="11"/>
      <color rgb="FF035FAD"/>
      <name val="Arial"/>
      <family val="2"/>
    </font>
    <font>
      <sz val="13"/>
      <color theme="1"/>
      <name val="Arial"/>
      <family val="2"/>
    </font>
    <font>
      <sz val="10"/>
      <color rgb="FF1D1C1D"/>
      <name val="Arial"/>
      <family val="2"/>
    </font>
    <font>
      <u/>
      <sz val="11"/>
      <color theme="1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sz val="25"/>
      <color theme="1"/>
      <name val="Arial"/>
      <family val="2"/>
    </font>
    <font>
      <b/>
      <sz val="15"/>
      <color rgb="FF90C53D"/>
      <name val="Arial"/>
      <family val="2"/>
    </font>
    <font>
      <u/>
      <sz val="15"/>
      <color theme="0"/>
      <name val="Arial"/>
      <family val="2"/>
    </font>
    <font>
      <b/>
      <sz val="20"/>
      <color theme="0"/>
      <name val="Arial"/>
      <family val="2"/>
    </font>
    <font>
      <b/>
      <sz val="13"/>
      <color theme="1"/>
      <name val="Arial"/>
      <family val="2"/>
    </font>
    <font>
      <b/>
      <u/>
      <sz val="15"/>
      <color theme="0"/>
      <name val="Arial"/>
      <family val="2"/>
    </font>
    <font>
      <b/>
      <sz val="28"/>
      <color rgb="FF035FA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35FAD"/>
        <bgColor indexed="64"/>
      </patternFill>
    </fill>
    <fill>
      <patternFill patternType="solid">
        <fgColor rgb="FF90C5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35FAD"/>
      </top>
      <bottom/>
      <diagonal/>
    </border>
    <border>
      <left/>
      <right/>
      <top/>
      <bottom style="thin">
        <color rgb="FF035FAD"/>
      </bottom>
      <diagonal/>
    </border>
    <border>
      <left style="thin">
        <color rgb="FF035FAD"/>
      </left>
      <right style="thin">
        <color rgb="FF035FAD"/>
      </right>
      <top style="thin">
        <color rgb="FF035FAD"/>
      </top>
      <bottom style="thin">
        <color rgb="FF035FAD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1">
    <xf numFmtId="0" fontId="0" fillId="0" borderId="0" xfId="0"/>
    <xf numFmtId="14" fontId="0" fillId="0" borderId="0" xfId="0" applyNumberFormat="1"/>
    <xf numFmtId="0" fontId="0" fillId="0" borderId="0" xfId="0" quotePrefix="1"/>
    <xf numFmtId="0" fontId="4" fillId="0" borderId="0" xfId="0" applyFont="1"/>
    <xf numFmtId="164" fontId="0" fillId="0" borderId="0" xfId="0" applyNumberFormat="1"/>
    <xf numFmtId="0" fontId="15" fillId="3" borderId="0" xfId="0" applyFont="1" applyFill="1" applyAlignment="1">
      <alignment horizontal="right" vertical="center"/>
    </xf>
    <xf numFmtId="0" fontId="4" fillId="5" borderId="0" xfId="0" applyFont="1" applyFill="1"/>
    <xf numFmtId="0" fontId="22" fillId="0" borderId="0" xfId="0" applyFont="1"/>
    <xf numFmtId="0" fontId="4" fillId="2" borderId="0" xfId="0" applyFont="1" applyFill="1"/>
    <xf numFmtId="0" fontId="22" fillId="2" borderId="0" xfId="0" applyFont="1" applyFill="1"/>
    <xf numFmtId="0" fontId="5" fillId="2" borderId="0" xfId="0" applyFont="1" applyFill="1" applyAlignment="1">
      <alignment vertical="top" wrapText="1"/>
    </xf>
    <xf numFmtId="0" fontId="13" fillId="5" borderId="0" xfId="0" applyFont="1" applyFill="1" applyAlignment="1">
      <alignment horizontal="center" vertical="top" wrapText="1"/>
    </xf>
    <xf numFmtId="0" fontId="3" fillId="0" borderId="0" xfId="0" applyFont="1"/>
    <xf numFmtId="0" fontId="3" fillId="2" borderId="0" xfId="0" applyFont="1" applyFill="1"/>
    <xf numFmtId="14" fontId="3" fillId="5" borderId="0" xfId="0" applyNumberFormat="1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vertical="top"/>
    </xf>
    <xf numFmtId="0" fontId="13" fillId="4" borderId="0" xfId="0" applyFont="1" applyFill="1" applyAlignment="1">
      <alignment horizontal="center" vertical="top" wrapText="1"/>
    </xf>
    <xf numFmtId="0" fontId="1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13" fillId="4" borderId="0" xfId="0" applyFont="1" applyFill="1" applyAlignment="1">
      <alignment vertical="top" wrapText="1"/>
    </xf>
    <xf numFmtId="0" fontId="4" fillId="6" borderId="0" xfId="0" applyFont="1" applyFill="1"/>
    <xf numFmtId="0" fontId="12" fillId="6" borderId="0" xfId="0" applyFont="1" applyFill="1"/>
    <xf numFmtId="0" fontId="3" fillId="6" borderId="0" xfId="0" applyFont="1" applyFill="1"/>
    <xf numFmtId="0" fontId="10" fillId="6" borderId="0" xfId="0" applyFont="1" applyFill="1" applyAlignment="1">
      <alignment vertical="center" wrapText="1"/>
    </xf>
    <xf numFmtId="0" fontId="11" fillId="6" borderId="0" xfId="1" applyFont="1" applyFill="1" applyAlignment="1">
      <alignment horizontal="center" vertical="top" wrapText="1"/>
    </xf>
    <xf numFmtId="0" fontId="7" fillId="6" borderId="0" xfId="0" applyFont="1" applyFill="1"/>
    <xf numFmtId="0" fontId="13" fillId="5" borderId="0" xfId="0" applyFont="1" applyFill="1" applyAlignment="1">
      <alignment vertical="top" wrapText="1"/>
    </xf>
    <xf numFmtId="0" fontId="12" fillId="5" borderId="0" xfId="0" applyFont="1" applyFill="1"/>
    <xf numFmtId="0" fontId="3" fillId="5" borderId="0" xfId="0" applyFont="1" applyFill="1"/>
    <xf numFmtId="0" fontId="15" fillId="5" borderId="0" xfId="0" applyFont="1" applyFill="1" applyAlignment="1">
      <alignment horizontal="center" vertical="top"/>
    </xf>
    <xf numFmtId="0" fontId="15" fillId="5" borderId="0" xfId="0" applyFont="1" applyFill="1" applyAlignment="1">
      <alignment vertical="top"/>
    </xf>
    <xf numFmtId="0" fontId="14" fillId="5" borderId="0" xfId="1" applyFont="1" applyFill="1" applyBorder="1" applyAlignment="1">
      <alignment horizontal="center" vertical="top" wrapText="1"/>
    </xf>
    <xf numFmtId="14" fontId="3" fillId="5" borderId="0" xfId="0" applyNumberFormat="1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8" fillId="5" borderId="0" xfId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7" fillId="5" borderId="0" xfId="1" applyFont="1" applyFill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8" fillId="0" borderId="0" xfId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26" fillId="4" borderId="0" xfId="0" applyFont="1" applyFill="1" applyAlignment="1">
      <alignment horizontal="center" vertical="top" wrapText="1"/>
    </xf>
    <xf numFmtId="0" fontId="27" fillId="5" borderId="0" xfId="0" applyFont="1" applyFill="1" applyAlignment="1">
      <alignment horizontal="center" vertical="top"/>
    </xf>
    <xf numFmtId="0" fontId="27" fillId="4" borderId="0" xfId="0" applyFont="1" applyFill="1" applyAlignment="1">
      <alignment horizontal="center" vertical="top"/>
    </xf>
    <xf numFmtId="0" fontId="27" fillId="5" borderId="0" xfId="0" applyFont="1" applyFill="1" applyAlignment="1">
      <alignment vertical="top"/>
    </xf>
    <xf numFmtId="0" fontId="27" fillId="4" borderId="0" xfId="0" applyFont="1" applyFill="1" applyAlignment="1">
      <alignment vertical="top"/>
    </xf>
    <xf numFmtId="0" fontId="27" fillId="4" borderId="0" xfId="1" applyFont="1" applyFill="1" applyBorder="1" applyAlignment="1">
      <alignment horizontal="center" vertical="top" wrapText="1"/>
    </xf>
    <xf numFmtId="0" fontId="3" fillId="3" borderId="3" xfId="0" applyFont="1" applyFill="1" applyBorder="1"/>
    <xf numFmtId="0" fontId="26" fillId="3" borderId="3" xfId="0" applyFont="1" applyFill="1" applyBorder="1" applyAlignment="1">
      <alignment horizontal="center" vertical="top" wrapText="1"/>
    </xf>
    <xf numFmtId="0" fontId="27" fillId="3" borderId="3" xfId="0" applyFont="1" applyFill="1" applyBorder="1" applyAlignment="1">
      <alignment vertical="top"/>
    </xf>
    <xf numFmtId="0" fontId="32" fillId="3" borderId="3" xfId="1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top"/>
    </xf>
    <xf numFmtId="0" fontId="26" fillId="4" borderId="0" xfId="0" applyFont="1" applyFill="1" applyAlignment="1">
      <alignment horizontal="center" vertical="top"/>
    </xf>
    <xf numFmtId="0" fontId="23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 vertical="top"/>
    </xf>
    <xf numFmtId="0" fontId="13" fillId="7" borderId="0" xfId="0" applyFont="1" applyFill="1" applyAlignment="1">
      <alignment horizontal="center" vertical="center"/>
    </xf>
    <xf numFmtId="0" fontId="3" fillId="5" borderId="1" xfId="0" applyFont="1" applyFill="1" applyBorder="1"/>
    <xf numFmtId="0" fontId="22" fillId="5" borderId="0" xfId="0" applyFont="1" applyFill="1"/>
    <xf numFmtId="0" fontId="4" fillId="8" borderId="0" xfId="0" applyFont="1" applyFill="1"/>
    <xf numFmtId="0" fontId="36" fillId="2" borderId="0" xfId="0" applyFont="1" applyFill="1" applyAlignment="1">
      <alignment vertical="center" wrapText="1"/>
    </xf>
    <xf numFmtId="0" fontId="21" fillId="2" borderId="0" xfId="1" applyFont="1" applyFill="1" applyAlignment="1">
      <alignment vertical="center"/>
    </xf>
    <xf numFmtId="0" fontId="24" fillId="0" borderId="0" xfId="0" applyFont="1"/>
    <xf numFmtId="0" fontId="35" fillId="3" borderId="0" xfId="1" applyFont="1" applyFill="1" applyAlignment="1">
      <alignment horizontal="center"/>
    </xf>
    <xf numFmtId="0" fontId="32" fillId="3" borderId="0" xfId="1" applyFont="1" applyFill="1" applyAlignment="1">
      <alignment horizontal="center" vertical="top"/>
    </xf>
    <xf numFmtId="0" fontId="8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top"/>
    </xf>
    <xf numFmtId="0" fontId="26" fillId="4" borderId="0" xfId="0" applyFont="1" applyFill="1" applyAlignment="1">
      <alignment horizontal="center" vertical="top" wrapText="1"/>
    </xf>
    <xf numFmtId="0" fontId="17" fillId="5" borderId="0" xfId="1" applyFont="1" applyFill="1" applyAlignment="1">
      <alignment horizontal="center" vertical="top" wrapText="1"/>
    </xf>
    <xf numFmtId="0" fontId="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/>
    </xf>
    <xf numFmtId="0" fontId="25" fillId="5" borderId="0" xfId="1" applyFont="1" applyFill="1" applyAlignment="1">
      <alignment horizontal="center" vertical="top"/>
    </xf>
    <xf numFmtId="0" fontId="17" fillId="5" borderId="0" xfId="1" applyFont="1" applyFill="1" applyAlignment="1">
      <alignment horizontal="center" vertical="top"/>
    </xf>
    <xf numFmtId="0" fontId="1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top"/>
    </xf>
    <xf numFmtId="0" fontId="7" fillId="5" borderId="1" xfId="0" applyFont="1" applyFill="1" applyBorder="1" applyAlignment="1">
      <alignment horizontal="center"/>
    </xf>
    <xf numFmtId="0" fontId="13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 vertical="top" wrapText="1"/>
    </xf>
    <xf numFmtId="0" fontId="27" fillId="4" borderId="0" xfId="0" applyFont="1" applyFill="1" applyAlignment="1">
      <alignment horizontal="center" vertical="top"/>
    </xf>
    <xf numFmtId="0" fontId="28" fillId="6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/>
    </xf>
    <xf numFmtId="0" fontId="29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/>
    </xf>
    <xf numFmtId="0" fontId="17" fillId="5" borderId="0" xfId="1" applyFont="1" applyFill="1" applyAlignment="1">
      <alignment horizontal="center" vertical="center"/>
    </xf>
    <xf numFmtId="0" fontId="27" fillId="3" borderId="3" xfId="0" applyFont="1" applyFill="1" applyBorder="1" applyAlignment="1">
      <alignment horizontal="center" vertical="top" wrapText="1"/>
    </xf>
    <xf numFmtId="0" fontId="26" fillId="3" borderId="3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1" fillId="3" borderId="0" xfId="1" applyFont="1" applyFill="1" applyAlignment="1">
      <alignment horizontal="left" vertical="center"/>
    </xf>
    <xf numFmtId="0" fontId="33" fillId="3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top" wrapText="1" indent="2"/>
    </xf>
    <xf numFmtId="0" fontId="26" fillId="3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35FAD"/>
      <color rgb="FF90C53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10089</xdr:colOff>
      <xdr:row>18</xdr:row>
      <xdr:rowOff>44144</xdr:rowOff>
    </xdr:from>
    <xdr:to>
      <xdr:col>3</xdr:col>
      <xdr:colOff>2159000</xdr:colOff>
      <xdr:row>18</xdr:row>
      <xdr:rowOff>737463</xdr:rowOff>
    </xdr:to>
    <xdr:pic>
      <xdr:nvPicPr>
        <xdr:cNvPr id="2" name="Picture 1" descr="Shape&#10;&#10;Description automatically generated with low confidence">
          <a:extLst>
            <a:ext uri="{FF2B5EF4-FFF2-40B4-BE49-F238E27FC236}">
              <a16:creationId xmlns:a16="http://schemas.microsoft.com/office/drawing/2014/main" id="{9205EB8F-8B89-7A7D-3A99-1CB8FB17B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089" y="8108644"/>
          <a:ext cx="2148911" cy="69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2228851</xdr:colOff>
      <xdr:row>17</xdr:row>
      <xdr:rowOff>377913</xdr:rowOff>
    </xdr:from>
    <xdr:to>
      <xdr:col>17</xdr:col>
      <xdr:colOff>2235</xdr:colOff>
      <xdr:row>18</xdr:row>
      <xdr:rowOff>685801</xdr:rowOff>
    </xdr:to>
    <xdr:pic>
      <xdr:nvPicPr>
        <xdr:cNvPr id="3" name="Picture 2" descr="image">
          <a:extLst>
            <a:ext uri="{FF2B5EF4-FFF2-40B4-BE49-F238E27FC236}">
              <a16:creationId xmlns:a16="http://schemas.microsoft.com/office/drawing/2014/main" id="{FCBAB313-D6A7-03E9-19A7-9E699A3A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1" y="10445838"/>
          <a:ext cx="630884" cy="68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</xdr:row>
      <xdr:rowOff>25400</xdr:rowOff>
    </xdr:from>
    <xdr:to>
      <xdr:col>5</xdr:col>
      <xdr:colOff>0</xdr:colOff>
      <xdr:row>8</xdr:row>
      <xdr:rowOff>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25A5CFA3-1FB5-E84E-84B7-43F17B97D734}"/>
            </a:ext>
          </a:extLst>
        </xdr:cNvPr>
        <xdr:cNvSpPr/>
      </xdr:nvSpPr>
      <xdr:spPr>
        <a:xfrm>
          <a:off x="381000" y="3962400"/>
          <a:ext cx="3365500" cy="355600"/>
        </a:xfrm>
        <a:prstGeom prst="roundRect">
          <a:avLst/>
        </a:prstGeom>
        <a:noFill/>
        <a:ln w="12700">
          <a:solidFill>
            <a:srgbClr val="90C53D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GB" sz="1100"/>
        </a:p>
      </xdr:txBody>
    </xdr:sp>
    <xdr:clientData/>
  </xdr:twoCellAnchor>
  <xdr:twoCellAnchor>
    <xdr:from>
      <xdr:col>6</xdr:col>
      <xdr:colOff>0</xdr:colOff>
      <xdr:row>7</xdr:row>
      <xdr:rowOff>25400</xdr:rowOff>
    </xdr:from>
    <xdr:to>
      <xdr:col>9</xdr:col>
      <xdr:colOff>0</xdr:colOff>
      <xdr:row>8</xdr:row>
      <xdr:rowOff>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BF9B6242-52ED-FD55-8856-C83D3E7EB703}"/>
            </a:ext>
          </a:extLst>
        </xdr:cNvPr>
        <xdr:cNvSpPr/>
      </xdr:nvSpPr>
      <xdr:spPr>
        <a:xfrm>
          <a:off x="4127500" y="3962400"/>
          <a:ext cx="3365500" cy="355600"/>
        </a:xfrm>
        <a:prstGeom prst="roundRect">
          <a:avLst/>
        </a:prstGeom>
        <a:noFill/>
        <a:ln w="12700">
          <a:solidFill>
            <a:srgbClr val="90C53D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GB" sz="1100"/>
        </a:p>
      </xdr:txBody>
    </xdr:sp>
    <xdr:clientData/>
  </xdr:twoCellAnchor>
  <xdr:twoCellAnchor>
    <xdr:from>
      <xdr:col>10</xdr:col>
      <xdr:colOff>0</xdr:colOff>
      <xdr:row>7</xdr:row>
      <xdr:rowOff>25400</xdr:rowOff>
    </xdr:from>
    <xdr:to>
      <xdr:col>13</xdr:col>
      <xdr:colOff>0</xdr:colOff>
      <xdr:row>8</xdr:row>
      <xdr:rowOff>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81F6C0D5-B4B3-883B-56AC-058D044FE35C}"/>
            </a:ext>
          </a:extLst>
        </xdr:cNvPr>
        <xdr:cNvSpPr/>
      </xdr:nvSpPr>
      <xdr:spPr>
        <a:xfrm>
          <a:off x="7874000" y="3962400"/>
          <a:ext cx="3365500" cy="355600"/>
        </a:xfrm>
        <a:prstGeom prst="roundRect">
          <a:avLst/>
        </a:prstGeom>
        <a:noFill/>
        <a:ln w="12700">
          <a:solidFill>
            <a:srgbClr val="90C53D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GB" sz="1100"/>
        </a:p>
      </xdr:txBody>
    </xdr:sp>
    <xdr:clientData/>
  </xdr:twoCellAnchor>
  <xdr:twoCellAnchor>
    <xdr:from>
      <xdr:col>13</xdr:col>
      <xdr:colOff>355600</xdr:colOff>
      <xdr:row>7</xdr:row>
      <xdr:rowOff>25400</xdr:rowOff>
    </xdr:from>
    <xdr:to>
      <xdr:col>17</xdr:col>
      <xdr:colOff>0</xdr:colOff>
      <xdr:row>8</xdr:row>
      <xdr:rowOff>0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67754774-A440-0A2D-6B54-3B1E76B2A670}"/>
            </a:ext>
          </a:extLst>
        </xdr:cNvPr>
        <xdr:cNvSpPr/>
      </xdr:nvSpPr>
      <xdr:spPr>
        <a:xfrm>
          <a:off x="11988800" y="4978400"/>
          <a:ext cx="3365500" cy="355600"/>
        </a:xfrm>
        <a:prstGeom prst="roundRect">
          <a:avLst/>
        </a:prstGeom>
        <a:noFill/>
        <a:ln w="12700">
          <a:solidFill>
            <a:srgbClr val="90C53D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GB" sz="1100"/>
        </a:p>
      </xdr:txBody>
    </xdr:sp>
    <xdr:clientData/>
  </xdr:twoCellAnchor>
  <xdr:twoCellAnchor>
    <xdr:from>
      <xdr:col>3</xdr:col>
      <xdr:colOff>1257300</xdr:colOff>
      <xdr:row>5</xdr:row>
      <xdr:rowOff>495300</xdr:rowOff>
    </xdr:from>
    <xdr:to>
      <xdr:col>3</xdr:col>
      <xdr:colOff>1739900</xdr:colOff>
      <xdr:row>7</xdr:row>
      <xdr:rowOff>25400</xdr:rowOff>
    </xdr:to>
    <xdr:sp macro="" textlink="">
      <xdr:nvSpPr>
        <xdr:cNvPr id="19" name="Triangle 18">
          <a:extLst>
            <a:ext uri="{FF2B5EF4-FFF2-40B4-BE49-F238E27FC236}">
              <a16:creationId xmlns:a16="http://schemas.microsoft.com/office/drawing/2014/main" id="{69E3B06C-18F5-C871-BBA5-F381A03E38AD}"/>
            </a:ext>
          </a:extLst>
        </xdr:cNvPr>
        <xdr:cNvSpPr/>
      </xdr:nvSpPr>
      <xdr:spPr>
        <a:xfrm rot="10800000">
          <a:off x="2222500" y="5003800"/>
          <a:ext cx="482600" cy="228600"/>
        </a:xfrm>
        <a:prstGeom prst="triangle">
          <a:avLst/>
        </a:prstGeom>
        <a:solidFill>
          <a:srgbClr val="90C53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1244600</xdr:colOff>
      <xdr:row>5</xdr:row>
      <xdr:rowOff>495300</xdr:rowOff>
    </xdr:from>
    <xdr:to>
      <xdr:col>7</xdr:col>
      <xdr:colOff>1727200</xdr:colOff>
      <xdr:row>7</xdr:row>
      <xdr:rowOff>25400</xdr:rowOff>
    </xdr:to>
    <xdr:sp macro="" textlink="">
      <xdr:nvSpPr>
        <xdr:cNvPr id="20" name="Triangle 19">
          <a:extLst>
            <a:ext uri="{FF2B5EF4-FFF2-40B4-BE49-F238E27FC236}">
              <a16:creationId xmlns:a16="http://schemas.microsoft.com/office/drawing/2014/main" id="{CC11BCE5-350E-2238-A41A-296405B3F27E}"/>
            </a:ext>
          </a:extLst>
        </xdr:cNvPr>
        <xdr:cNvSpPr/>
      </xdr:nvSpPr>
      <xdr:spPr>
        <a:xfrm rot="10800000">
          <a:off x="5956300" y="5003800"/>
          <a:ext cx="482600" cy="228600"/>
        </a:xfrm>
        <a:prstGeom prst="triangle">
          <a:avLst/>
        </a:prstGeom>
        <a:solidFill>
          <a:srgbClr val="90C53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1244600</xdr:colOff>
      <xdr:row>5</xdr:row>
      <xdr:rowOff>495300</xdr:rowOff>
    </xdr:from>
    <xdr:to>
      <xdr:col>11</xdr:col>
      <xdr:colOff>1727200</xdr:colOff>
      <xdr:row>7</xdr:row>
      <xdr:rowOff>25400</xdr:rowOff>
    </xdr:to>
    <xdr:sp macro="" textlink="">
      <xdr:nvSpPr>
        <xdr:cNvPr id="21" name="Triangle 20">
          <a:extLst>
            <a:ext uri="{FF2B5EF4-FFF2-40B4-BE49-F238E27FC236}">
              <a16:creationId xmlns:a16="http://schemas.microsoft.com/office/drawing/2014/main" id="{837A14B1-0440-825F-4317-C785EF8FD97E}"/>
            </a:ext>
          </a:extLst>
        </xdr:cNvPr>
        <xdr:cNvSpPr/>
      </xdr:nvSpPr>
      <xdr:spPr>
        <a:xfrm rot="10800000">
          <a:off x="9702800" y="5003800"/>
          <a:ext cx="482600" cy="228600"/>
        </a:xfrm>
        <a:prstGeom prst="triangle">
          <a:avLst/>
        </a:prstGeom>
        <a:solidFill>
          <a:srgbClr val="90C53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18</xdr:col>
      <xdr:colOff>2540</xdr:colOff>
      <xdr:row>2</xdr:row>
      <xdr:rowOff>440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90BBC8-7EFC-1447-BBA4-360B10A89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381000"/>
          <a:ext cx="15354300" cy="253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12701</xdr:colOff>
      <xdr:row>11</xdr:row>
      <xdr:rowOff>342900</xdr:rowOff>
    </xdr:from>
    <xdr:to>
      <xdr:col>3</xdr:col>
      <xdr:colOff>1981201</xdr:colOff>
      <xdr:row>12</xdr:row>
      <xdr:rowOff>655219</xdr:rowOff>
    </xdr:to>
    <xdr:pic>
      <xdr:nvPicPr>
        <xdr:cNvPr id="4" name="Picture 3" descr="Shape&#10;&#10;Description automatically generated with low confidence">
          <a:extLst>
            <a:ext uri="{FF2B5EF4-FFF2-40B4-BE49-F238E27FC236}">
              <a16:creationId xmlns:a16="http://schemas.microsoft.com/office/drawing/2014/main" id="{459E7F17-591B-4F41-8462-68E91BD6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01" y="7073900"/>
          <a:ext cx="2159000" cy="69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5610226</xdr:colOff>
      <xdr:row>11</xdr:row>
      <xdr:rowOff>304800</xdr:rowOff>
    </xdr:from>
    <xdr:to>
      <xdr:col>13</xdr:col>
      <xdr:colOff>39618</xdr:colOff>
      <xdr:row>12</xdr:row>
      <xdr:rowOff>612688</xdr:rowOff>
    </xdr:to>
    <xdr:pic>
      <xdr:nvPicPr>
        <xdr:cNvPr id="7" name="Picture 6" descr="image">
          <a:extLst>
            <a:ext uri="{FF2B5EF4-FFF2-40B4-BE49-F238E27FC236}">
              <a16:creationId xmlns:a16="http://schemas.microsoft.com/office/drawing/2014/main" id="{88986C70-91B6-D741-BBC7-BC3509C4D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6" y="7019925"/>
          <a:ext cx="658742" cy="68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</xdr:row>
      <xdr:rowOff>38100</xdr:rowOff>
    </xdr:from>
    <xdr:to>
      <xdr:col>5</xdr:col>
      <xdr:colOff>0</xdr:colOff>
      <xdr:row>8</xdr:row>
      <xdr:rowOff>12700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D39999EE-FB03-9B43-8BB4-A77974C3E6B3}"/>
            </a:ext>
          </a:extLst>
        </xdr:cNvPr>
        <xdr:cNvSpPr/>
      </xdr:nvSpPr>
      <xdr:spPr>
        <a:xfrm>
          <a:off x="762000" y="5245100"/>
          <a:ext cx="3365500" cy="355600"/>
        </a:xfrm>
        <a:prstGeom prst="roundRect">
          <a:avLst/>
        </a:prstGeom>
        <a:noFill/>
        <a:ln w="12700">
          <a:solidFill>
            <a:srgbClr val="035FAD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GB" sz="1100"/>
        </a:p>
      </xdr:txBody>
    </xdr:sp>
    <xdr:clientData/>
  </xdr:twoCellAnchor>
  <xdr:twoCellAnchor>
    <xdr:from>
      <xdr:col>6</xdr:col>
      <xdr:colOff>0</xdr:colOff>
      <xdr:row>7</xdr:row>
      <xdr:rowOff>38100</xdr:rowOff>
    </xdr:from>
    <xdr:to>
      <xdr:col>9</xdr:col>
      <xdr:colOff>0</xdr:colOff>
      <xdr:row>8</xdr:row>
      <xdr:rowOff>12700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EAEA212E-BD04-C74E-809C-94C93572A955}"/>
            </a:ext>
          </a:extLst>
        </xdr:cNvPr>
        <xdr:cNvSpPr/>
      </xdr:nvSpPr>
      <xdr:spPr>
        <a:xfrm>
          <a:off x="4508500" y="5245100"/>
          <a:ext cx="3365500" cy="355600"/>
        </a:xfrm>
        <a:prstGeom prst="roundRect">
          <a:avLst/>
        </a:prstGeom>
        <a:noFill/>
        <a:ln w="12700">
          <a:solidFill>
            <a:srgbClr val="035FAD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GB" sz="1100"/>
        </a:p>
      </xdr:txBody>
    </xdr:sp>
    <xdr:clientData/>
  </xdr:twoCellAnchor>
  <xdr:twoCellAnchor>
    <xdr:from>
      <xdr:col>9</xdr:col>
      <xdr:colOff>314325</xdr:colOff>
      <xdr:row>7</xdr:row>
      <xdr:rowOff>47625</xdr:rowOff>
    </xdr:from>
    <xdr:to>
      <xdr:col>12</xdr:col>
      <xdr:colOff>159385</xdr:colOff>
      <xdr:row>8</xdr:row>
      <xdr:rowOff>26035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4A0DFF94-88E9-5141-A68D-76A1C9853525}"/>
            </a:ext>
          </a:extLst>
        </xdr:cNvPr>
        <xdr:cNvSpPr/>
      </xdr:nvSpPr>
      <xdr:spPr>
        <a:xfrm>
          <a:off x="7400925" y="5238750"/>
          <a:ext cx="6417310" cy="359410"/>
        </a:xfrm>
        <a:prstGeom prst="roundRect">
          <a:avLst/>
        </a:prstGeom>
        <a:noFill/>
        <a:ln w="12700">
          <a:solidFill>
            <a:srgbClr val="035FAD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GB" sz="1100"/>
        </a:p>
      </xdr:txBody>
    </xdr:sp>
    <xdr:clientData/>
  </xdr:twoCellAnchor>
  <xdr:twoCellAnchor>
    <xdr:from>
      <xdr:col>3</xdr:col>
      <xdr:colOff>1257300</xdr:colOff>
      <xdr:row>6</xdr:row>
      <xdr:rowOff>0</xdr:rowOff>
    </xdr:from>
    <xdr:to>
      <xdr:col>3</xdr:col>
      <xdr:colOff>1739900</xdr:colOff>
      <xdr:row>7</xdr:row>
      <xdr:rowOff>38100</xdr:rowOff>
    </xdr:to>
    <xdr:sp macro="" textlink="">
      <xdr:nvSpPr>
        <xdr:cNvPr id="14" name="Triangle 13">
          <a:extLst>
            <a:ext uri="{FF2B5EF4-FFF2-40B4-BE49-F238E27FC236}">
              <a16:creationId xmlns:a16="http://schemas.microsoft.com/office/drawing/2014/main" id="{A63F0C64-0DCC-424B-962F-19C0753A95A5}"/>
            </a:ext>
          </a:extLst>
        </xdr:cNvPr>
        <xdr:cNvSpPr/>
      </xdr:nvSpPr>
      <xdr:spPr>
        <a:xfrm rot="10800000">
          <a:off x="2209800" y="5016500"/>
          <a:ext cx="482600" cy="228600"/>
        </a:xfrm>
        <a:prstGeom prst="triangle">
          <a:avLst/>
        </a:prstGeom>
        <a:solidFill>
          <a:srgbClr val="035FA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1244600</xdr:colOff>
      <xdr:row>6</xdr:row>
      <xdr:rowOff>0</xdr:rowOff>
    </xdr:from>
    <xdr:to>
      <xdr:col>7</xdr:col>
      <xdr:colOff>1727200</xdr:colOff>
      <xdr:row>7</xdr:row>
      <xdr:rowOff>38100</xdr:rowOff>
    </xdr:to>
    <xdr:sp macro="" textlink="">
      <xdr:nvSpPr>
        <xdr:cNvPr id="15" name="Triangle 14">
          <a:extLst>
            <a:ext uri="{FF2B5EF4-FFF2-40B4-BE49-F238E27FC236}">
              <a16:creationId xmlns:a16="http://schemas.microsoft.com/office/drawing/2014/main" id="{43BA49BE-3EC9-CE46-AD5B-3E21B0B21BFD}"/>
            </a:ext>
          </a:extLst>
        </xdr:cNvPr>
        <xdr:cNvSpPr/>
      </xdr:nvSpPr>
      <xdr:spPr>
        <a:xfrm rot="10800000">
          <a:off x="5943600" y="5016500"/>
          <a:ext cx="482600" cy="228600"/>
        </a:xfrm>
        <a:prstGeom prst="triangle">
          <a:avLst/>
        </a:prstGeom>
        <a:solidFill>
          <a:srgbClr val="035FA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3213100</xdr:colOff>
      <xdr:row>6</xdr:row>
      <xdr:rowOff>12700</xdr:rowOff>
    </xdr:from>
    <xdr:to>
      <xdr:col>11</xdr:col>
      <xdr:colOff>3695700</xdr:colOff>
      <xdr:row>7</xdr:row>
      <xdr:rowOff>50800</xdr:rowOff>
    </xdr:to>
    <xdr:sp macro="" textlink="">
      <xdr:nvSpPr>
        <xdr:cNvPr id="2" name="Triangle 1">
          <a:extLst>
            <a:ext uri="{FF2B5EF4-FFF2-40B4-BE49-F238E27FC236}">
              <a16:creationId xmlns:a16="http://schemas.microsoft.com/office/drawing/2014/main" id="{1B9E5A0F-C9E8-BB43-A603-6EDFDBBEA76F}"/>
            </a:ext>
          </a:extLst>
        </xdr:cNvPr>
        <xdr:cNvSpPr/>
      </xdr:nvSpPr>
      <xdr:spPr>
        <a:xfrm rot="10800000">
          <a:off x="11658600" y="5029200"/>
          <a:ext cx="482600" cy="228600"/>
        </a:xfrm>
        <a:prstGeom prst="triangle">
          <a:avLst/>
        </a:prstGeom>
        <a:solidFill>
          <a:srgbClr val="035FA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380999</xdr:colOff>
      <xdr:row>1</xdr:row>
      <xdr:rowOff>0</xdr:rowOff>
    </xdr:from>
    <xdr:to>
      <xdr:col>14</xdr:col>
      <xdr:colOff>2</xdr:colOff>
      <xdr:row>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C0E265-D8AC-8147-8B93-3CDDA227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0999" y="381000"/>
          <a:ext cx="15367003" cy="2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12700</xdr:rowOff>
    </xdr:from>
    <xdr:to>
      <xdr:col>5</xdr:col>
      <xdr:colOff>12700</xdr:colOff>
      <xdr:row>5</xdr:row>
      <xdr:rowOff>368300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7B58787-494E-2949-9846-B117923CBDE9}"/>
            </a:ext>
          </a:extLst>
        </xdr:cNvPr>
        <xdr:cNvSpPr/>
      </xdr:nvSpPr>
      <xdr:spPr>
        <a:xfrm>
          <a:off x="762000" y="4648200"/>
          <a:ext cx="14236700" cy="355600"/>
        </a:xfrm>
        <a:prstGeom prst="roundRect">
          <a:avLst/>
        </a:prstGeom>
        <a:noFill/>
        <a:ln w="12700">
          <a:solidFill>
            <a:srgbClr val="035FAD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GB" sz="1100"/>
        </a:p>
      </xdr:txBody>
    </xdr:sp>
    <xdr:clientData/>
  </xdr:twoCellAnchor>
  <xdr:twoCellAnchor>
    <xdr:from>
      <xdr:col>2</xdr:col>
      <xdr:colOff>0</xdr:colOff>
      <xdr:row>18</xdr:row>
      <xdr:rowOff>12700</xdr:rowOff>
    </xdr:from>
    <xdr:to>
      <xdr:col>2</xdr:col>
      <xdr:colOff>2159000</xdr:colOff>
      <xdr:row>18</xdr:row>
      <xdr:rowOff>706019</xdr:rowOff>
    </xdr:to>
    <xdr:pic>
      <xdr:nvPicPr>
        <xdr:cNvPr id="5" name="Picture 4" descr="Shape&#10;&#10;Description automatically generated with low confidence">
          <a:extLst>
            <a:ext uri="{FF2B5EF4-FFF2-40B4-BE49-F238E27FC236}">
              <a16:creationId xmlns:a16="http://schemas.microsoft.com/office/drawing/2014/main" id="{F475ADC9-AF17-A24C-8627-C5A9AD4E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846300"/>
          <a:ext cx="2159000" cy="69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5915025</xdr:colOff>
      <xdr:row>17</xdr:row>
      <xdr:rowOff>359410</xdr:rowOff>
    </xdr:from>
    <xdr:to>
      <xdr:col>5</xdr:col>
      <xdr:colOff>25011</xdr:colOff>
      <xdr:row>18</xdr:row>
      <xdr:rowOff>667298</xdr:rowOff>
    </xdr:to>
    <xdr:pic>
      <xdr:nvPicPr>
        <xdr:cNvPr id="6" name="Picture 5" descr="image">
          <a:extLst>
            <a:ext uri="{FF2B5EF4-FFF2-40B4-BE49-F238E27FC236}">
              <a16:creationId xmlns:a16="http://schemas.microsoft.com/office/drawing/2014/main" id="{26B349E1-4E75-E440-B47B-DAD47AAA7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14799310"/>
          <a:ext cx="682236" cy="68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0</xdr:colOff>
      <xdr:row>2</xdr:row>
      <xdr:rowOff>62975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9986101-7157-B343-B7AB-6CB67EF6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381000"/>
          <a:ext cx="15748000" cy="260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7124700</xdr:colOff>
      <xdr:row>13</xdr:row>
      <xdr:rowOff>190501</xdr:rowOff>
    </xdr:from>
    <xdr:to>
      <xdr:col>2</xdr:col>
      <xdr:colOff>8153262</xdr:colOff>
      <xdr:row>14</xdr:row>
      <xdr:rowOff>99523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57F45-186D-73E9-8511-C5EB6717B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9613901"/>
          <a:ext cx="1028562" cy="7980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368300</xdr:colOff>
      <xdr:row>1</xdr:row>
      <xdr:rowOff>2527300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A7040C-7CEB-8343-99DA-A074FD4AB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381000"/>
          <a:ext cx="15735300" cy="252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uk/government/publications/shingles-herpes-zoster-the-green-book-chapter-28a" TargetMode="External"/><Relationship Id="rId1" Type="http://schemas.openxmlformats.org/officeDocument/2006/relationships/hyperlink" Target="mailto:england.swvast@nhs.ne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shingles-herpes-zoster-the-green-book-chapter-28a" TargetMode="External"/><Relationship Id="rId1" Type="http://schemas.openxmlformats.org/officeDocument/2006/relationships/hyperlink" Target="mailto:england.swvast@nhs.net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uk/government/publications/shingles-herpes-zoster-the-green-book-chapter-28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gov.uk/government/publications/shingles-vaccination-guidance-for-healthcare-professionals" TargetMode="External"/><Relationship Id="rId1" Type="http://schemas.openxmlformats.org/officeDocument/2006/relationships/hyperlink" Target="https://www.gov.uk/government/publications/shingles-vaccination-programme-changes-from-september-2023-letter/introduction-of-shingrix-vaccine-for-the-whole-programme-and-expansion-of-eligible-cohorts-letter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A03A-93BD-4C35-B425-E59055702513}">
  <dimension ref="B1:AA109"/>
  <sheetViews>
    <sheetView showGridLines="0" topLeftCell="D3" zoomScaleNormal="100" workbookViewId="0">
      <selection activeCell="D9" sqref="D9"/>
    </sheetView>
  </sheetViews>
  <sheetFormatPr defaultColWidth="8.77734375" defaultRowHeight="14.7" x14ac:dyDescent="0.25"/>
  <cols>
    <col min="1" max="2" width="5" style="21" customWidth="1"/>
    <col min="3" max="3" width="2.44140625" style="21" customWidth="1"/>
    <col min="4" max="4" width="39.109375" style="21" customWidth="1"/>
    <col min="5" max="5" width="2.44140625" style="21" customWidth="1"/>
    <col min="6" max="6" width="5" style="21" customWidth="1"/>
    <col min="7" max="7" width="2.44140625" style="21" customWidth="1"/>
    <col min="8" max="8" width="39.109375" style="21" customWidth="1"/>
    <col min="9" max="9" width="2.44140625" style="21" customWidth="1"/>
    <col min="10" max="10" width="5" style="21" customWidth="1"/>
    <col min="11" max="11" width="2.44140625" style="21" customWidth="1"/>
    <col min="12" max="12" width="39.109375" style="21" customWidth="1"/>
    <col min="13" max="13" width="2.44140625" style="21" customWidth="1"/>
    <col min="14" max="14" width="5" style="21" customWidth="1"/>
    <col min="15" max="15" width="2.44140625" style="21" customWidth="1"/>
    <col min="16" max="16" width="39.109375" style="21" customWidth="1"/>
    <col min="17" max="17" width="2.44140625" style="21" customWidth="1"/>
    <col min="18" max="19" width="5" style="21" customWidth="1"/>
    <col min="20" max="20" width="85" style="21" customWidth="1"/>
    <col min="21" max="16384" width="8.77734375" style="21"/>
  </cols>
  <sheetData>
    <row r="1" spans="2:27" ht="30" customHeight="1" x14ac:dyDescent="0.25"/>
    <row r="2" spans="2:27" ht="200" customHeight="1" x14ac:dyDescent="0.25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2:27" ht="30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2:27" ht="30" customHeight="1" x14ac:dyDescent="0.25">
      <c r="B4" s="6"/>
      <c r="C4" s="20"/>
      <c r="D4" s="20"/>
      <c r="E4" s="20"/>
      <c r="F4" s="28"/>
      <c r="G4" s="86"/>
      <c r="H4" s="86"/>
      <c r="I4" s="86"/>
      <c r="J4" s="28"/>
      <c r="K4" s="87"/>
      <c r="L4" s="87"/>
      <c r="M4" s="87"/>
      <c r="N4" s="28"/>
      <c r="O4" s="17"/>
      <c r="P4" s="16"/>
      <c r="Q4" s="18"/>
      <c r="R4" s="6"/>
    </row>
    <row r="5" spans="2:27" s="23" customFormat="1" ht="65" customHeight="1" x14ac:dyDescent="0.3">
      <c r="B5" s="29"/>
      <c r="C5" s="77" t="s">
        <v>93</v>
      </c>
      <c r="D5" s="77"/>
      <c r="E5" s="77"/>
      <c r="F5" s="48"/>
      <c r="G5" s="77" t="s">
        <v>94</v>
      </c>
      <c r="H5" s="77"/>
      <c r="I5" s="77"/>
      <c r="J5" s="48"/>
      <c r="K5" s="88" t="s">
        <v>95</v>
      </c>
      <c r="L5" s="89"/>
      <c r="M5" s="89"/>
      <c r="N5" s="50"/>
      <c r="O5" s="51"/>
      <c r="P5" s="77" t="s">
        <v>84</v>
      </c>
      <c r="Q5" s="19"/>
      <c r="R5" s="29"/>
    </row>
    <row r="6" spans="2:27" s="23" customFormat="1" ht="40" customHeight="1" x14ac:dyDescent="0.3">
      <c r="B6" s="29"/>
      <c r="C6" s="77"/>
      <c r="D6" s="77"/>
      <c r="E6" s="77"/>
      <c r="F6" s="48"/>
      <c r="G6" s="77"/>
      <c r="H6" s="77"/>
      <c r="I6" s="77"/>
      <c r="J6" s="48"/>
      <c r="K6" s="49"/>
      <c r="L6" s="52" t="s">
        <v>91</v>
      </c>
      <c r="M6" s="52"/>
      <c r="N6" s="50"/>
      <c r="O6" s="51"/>
      <c r="P6" s="77"/>
      <c r="Q6" s="19"/>
      <c r="R6" s="29"/>
    </row>
    <row r="7" spans="2:27" s="23" customFormat="1" ht="15" customHeight="1" x14ac:dyDescent="0.3">
      <c r="B7" s="29"/>
      <c r="C7" s="29"/>
      <c r="D7" s="11"/>
      <c r="E7" s="11"/>
      <c r="F7" s="30"/>
      <c r="G7" s="30"/>
      <c r="H7" s="11"/>
      <c r="I7" s="11"/>
      <c r="J7" s="30"/>
      <c r="K7" s="30"/>
      <c r="L7" s="32"/>
      <c r="M7" s="32"/>
      <c r="N7" s="31"/>
      <c r="O7" s="31"/>
      <c r="P7" s="27"/>
      <c r="Q7" s="29"/>
      <c r="R7" s="29"/>
    </row>
    <row r="8" spans="2:27" ht="30" customHeight="1" x14ac:dyDescent="0.3">
      <c r="B8" s="6"/>
      <c r="C8" s="6"/>
      <c r="D8" s="14">
        <v>19603</v>
      </c>
      <c r="E8" s="33"/>
      <c r="F8" s="34"/>
      <c r="G8" s="34"/>
      <c r="H8" s="14">
        <v>45170</v>
      </c>
      <c r="I8" s="14"/>
      <c r="J8" s="35"/>
      <c r="K8" s="35"/>
      <c r="L8" s="36" t="s">
        <v>11</v>
      </c>
      <c r="M8" s="36"/>
      <c r="N8" s="6"/>
      <c r="O8" s="6"/>
      <c r="P8" s="35">
        <f>IF(OR(D8="",H8=""),"",DATEDIF(D8,H8,"y"))</f>
        <v>70</v>
      </c>
      <c r="Q8" s="6"/>
      <c r="R8" s="6"/>
      <c r="T8" s="74" t="str">
        <f>IF(OR(D8="",H8="",L8=""),"You MUST to select the following things to be able to calculate a Patients Eligibility","")</f>
        <v/>
      </c>
    </row>
    <row r="9" spans="2:27" ht="15" customHeight="1" x14ac:dyDescent="0.25">
      <c r="B9" s="6"/>
      <c r="C9" s="6"/>
      <c r="D9" s="14"/>
      <c r="E9" s="14"/>
      <c r="F9" s="35"/>
      <c r="G9" s="35"/>
      <c r="H9" s="14"/>
      <c r="I9" s="14"/>
      <c r="J9" s="35"/>
      <c r="K9" s="35"/>
      <c r="L9" s="36"/>
      <c r="M9" s="36"/>
      <c r="N9" s="6"/>
      <c r="O9" s="6"/>
      <c r="P9" s="35"/>
      <c r="Q9" s="6"/>
      <c r="R9" s="37"/>
    </row>
    <row r="10" spans="2:27" ht="30" customHeight="1" x14ac:dyDescent="0.25">
      <c r="B10" s="6"/>
      <c r="C10" s="6"/>
      <c r="D10" s="6"/>
      <c r="E10" s="6"/>
      <c r="F10" s="6"/>
      <c r="G10" s="6"/>
      <c r="H10" s="37" t="str">
        <f ca="1">IF(H8="","",IF((TODAY()-H8)&gt;0,"Date of Clinic is in the Past",IF(((TODAY()+365)&lt;H8),"This date is a YEAR or more in the Future","")))</f>
        <v/>
      </c>
      <c r="I10" s="37"/>
      <c r="J10" s="6"/>
      <c r="K10" s="6"/>
      <c r="L10" s="6"/>
      <c r="M10" s="6"/>
      <c r="N10" s="6"/>
      <c r="O10" s="6"/>
      <c r="P10" s="6"/>
      <c r="Q10" s="6"/>
      <c r="R10" s="6"/>
      <c r="T10" s="75" t="str">
        <f>IF(D8="","Date of Birth of the Patient","")</f>
        <v/>
      </c>
    </row>
    <row r="11" spans="2:27" ht="30" customHeight="1" x14ac:dyDescent="0.25">
      <c r="B11" s="6"/>
      <c r="C11" s="91" t="s">
        <v>83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6"/>
      <c r="T11" s="75" t="str">
        <f>IF(H8="","Date you Intend to Vaccinate the Patient","")</f>
        <v/>
      </c>
      <c r="U11" s="24" t="str">
        <f t="shared" ref="U11:AA11" si="0">IF(E12=TRUE,"* Please note that some patients who have received a dose of Zostavax before 70 years may 
  still be eligible for shingles vaccination (see Healthcare Practioner Guidance for clarification on this).", "")</f>
        <v/>
      </c>
      <c r="V11" s="24" t="str">
        <f t="shared" si="0"/>
        <v/>
      </c>
      <c r="W11" s="24" t="str">
        <f t="shared" si="0"/>
        <v/>
      </c>
      <c r="X11" s="24" t="str">
        <f t="shared" si="0"/>
        <v/>
      </c>
      <c r="Y11" s="24" t="str">
        <f t="shared" si="0"/>
        <v/>
      </c>
      <c r="Z11" s="24" t="str">
        <f t="shared" si="0"/>
        <v/>
      </c>
      <c r="AA11" s="24" t="str">
        <f t="shared" si="0"/>
        <v/>
      </c>
    </row>
    <row r="12" spans="2:27" ht="40" customHeight="1" x14ac:dyDescent="0.5">
      <c r="B12" s="6"/>
      <c r="C12" s="92" t="b">
        <f>IF(OR(D8="",H8="",L8=""),"",Sheet1!H8)</f>
        <v>1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6"/>
      <c r="T12" s="75" t="str">
        <f>IF(L8="","Select if Patient is 'Severely Immunosupressed' or Not","")</f>
        <v/>
      </c>
    </row>
    <row r="13" spans="2:27" ht="40" customHeight="1" x14ac:dyDescent="0.25">
      <c r="B13" s="6"/>
      <c r="C13" s="93" t="str">
        <f>IF(OR(D8="",H8="",L8=""),"",VLOOKUP(Sheet1!F34,Sheet1!A20:L21,12))</f>
        <v>Patient is eligible for vaccination (so long as they have not been vaccinated for Shingles previously) *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6"/>
      <c r="T13" s="24"/>
    </row>
    <row r="14" spans="2:27" ht="45" customHeight="1" x14ac:dyDescent="0.25">
      <c r="B14" s="6"/>
      <c r="C14" s="6"/>
      <c r="D14" s="83" t="str">
        <f>IF(OR(D8="",H8="",L8=""),"",IF(AND(H8&lt;45170,P8&gt;=70,P8&lt;=79,L8="No"),Sheet1!H16,IF(AND(H8&gt;45169,H8&lt;45536,L8="No",Sheet1!I5&gt;=70,P8&lt;80,D8&lt;19603),Sheet1!H15,IF(AND(L8="Yes",C12=TRUE),Sheet1!H14,""))))</f>
        <v/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6"/>
      <c r="R14" s="6"/>
      <c r="S14" s="25"/>
      <c r="T14" s="25"/>
      <c r="U14" s="25"/>
      <c r="V14" s="25"/>
      <c r="W14" s="25"/>
      <c r="X14" s="25"/>
    </row>
    <row r="15" spans="2:27" ht="45" customHeight="1" x14ac:dyDescent="0.25">
      <c r="B15" s="6"/>
      <c r="C15" s="6"/>
      <c r="D15" s="84" t="str">
        <f>IF(C12=TRUE,"* Please note that some patients who have received a dose of Zostavax before 70 years may still be eligible for shingles vaccination (see Healthcare Practioner Guidance for clarification on this).", "")</f>
        <v>* Please note that some patients who have received a dose of Zostavax before 70 years may still be eligible for shingles vaccination (see Healthcare Practioner Guidance for clarification on this).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6"/>
      <c r="R15" s="6"/>
      <c r="S15" s="25"/>
      <c r="T15" s="25"/>
      <c r="U15" s="25"/>
      <c r="V15" s="25"/>
      <c r="W15" s="25"/>
      <c r="X15" s="25"/>
    </row>
    <row r="16" spans="2:27" ht="30" customHeight="1" x14ac:dyDescent="0.25">
      <c r="B16" s="6"/>
      <c r="C16" s="91" t="s">
        <v>92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6"/>
    </row>
    <row r="17" spans="2:18" ht="80" customHeight="1" x14ac:dyDescent="0.25">
      <c r="B17" s="6"/>
      <c r="C17" s="90" t="str">
        <f>IF(OR(D8="",H8="",L8=""),"",VLOOKUP(Sheet1!J6,Sheet1!J1:K4,2))</f>
        <v>- Second dose to be given 6 months to 12 months AFTER the first dose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6"/>
    </row>
    <row r="18" spans="2:18" ht="30" customHeight="1" x14ac:dyDescent="0.25">
      <c r="B18" s="6"/>
      <c r="C18" s="6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6"/>
      <c r="R18" s="6"/>
    </row>
    <row r="19" spans="2:18" ht="90" customHeight="1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18" ht="30" customHeight="1" x14ac:dyDescent="0.25">
      <c r="B20" s="6"/>
      <c r="C20" s="6"/>
      <c r="D20" s="85" t="s">
        <v>80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6"/>
    </row>
    <row r="21" spans="2:18" ht="15" customHeight="1" x14ac:dyDescent="0.25">
      <c r="B21" s="6"/>
      <c r="C21" s="6"/>
      <c r="D21" s="81" t="s">
        <v>57</v>
      </c>
      <c r="E21" s="81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6"/>
      <c r="R21" s="6"/>
    </row>
    <row r="22" spans="2:18" ht="30" customHeight="1" x14ac:dyDescent="0.25">
      <c r="B22" s="6"/>
      <c r="C22" s="6"/>
      <c r="D22" s="79" t="s">
        <v>81</v>
      </c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6"/>
      <c r="R22" s="6"/>
    </row>
    <row r="23" spans="2:18" ht="40" customHeight="1" x14ac:dyDescent="0.25">
      <c r="B23" s="6"/>
      <c r="C23" s="6"/>
      <c r="D23" s="78" t="s">
        <v>82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6"/>
      <c r="R23" s="6"/>
    </row>
    <row r="24" spans="2:18" ht="45" customHeight="1" x14ac:dyDescent="0.25">
      <c r="B24" s="6"/>
      <c r="C24" s="6"/>
      <c r="D24" s="76" t="s">
        <v>90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6"/>
      <c r="R24" s="6"/>
    </row>
    <row r="25" spans="2:18" x14ac:dyDescent="0.25"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109" spans="4:5" x14ac:dyDescent="0.25">
      <c r="D109" s="22" t="str">
        <f>IFERROR(SEARCH("Patient will be become eligible for vaccination on ",C13),"")</f>
        <v/>
      </c>
      <c r="E109" s="22"/>
    </row>
  </sheetData>
  <sheetProtection algorithmName="SHA-512" hashValue="J/5se0hYWjbEhSw/g11Yr82dTXwn65MDAt+ZdrVMGG8rmcCvMQ97Y/mSZTwisHRl2V/EI4AMb6zRcUFzTOAF3w==" saltValue="MB+7caN7/A98nBSiEwuynA==" spinCount="100000" sheet="1" objects="1" scenarios="1"/>
  <mergeCells count="19">
    <mergeCell ref="B2:R2"/>
    <mergeCell ref="G4:I4"/>
    <mergeCell ref="G5:I6"/>
    <mergeCell ref="K4:M4"/>
    <mergeCell ref="K5:M5"/>
    <mergeCell ref="C17:Q17"/>
    <mergeCell ref="C11:Q11"/>
    <mergeCell ref="C12:Q12"/>
    <mergeCell ref="C13:Q13"/>
    <mergeCell ref="C16:Q16"/>
    <mergeCell ref="D24:P24"/>
    <mergeCell ref="P5:P6"/>
    <mergeCell ref="D23:P23"/>
    <mergeCell ref="D22:P22"/>
    <mergeCell ref="D21:P21"/>
    <mergeCell ref="D14:P14"/>
    <mergeCell ref="D15:P15"/>
    <mergeCell ref="D20:Q20"/>
    <mergeCell ref="C5:E6"/>
  </mergeCells>
  <conditionalFormatting sqref="C12:C13">
    <cfRule type="cellIs" dxfId="4" priority="9" operator="equal">
      <formula>FALSE</formula>
    </cfRule>
    <cfRule type="cellIs" dxfId="3" priority="10" operator="equal">
      <formula>TRUE</formula>
    </cfRule>
    <cfRule type="expression" dxfId="2" priority="11" stopIfTrue="1">
      <formula>AND($C$12=TRUE,$D$109=1)</formula>
    </cfRule>
  </conditionalFormatting>
  <conditionalFormatting sqref="C13">
    <cfRule type="expression" dxfId="1" priority="15">
      <formula>C12=TRUE</formula>
    </cfRule>
    <cfRule type="expression" dxfId="0" priority="16">
      <formula>C12=FALSE</formula>
    </cfRule>
  </conditionalFormatting>
  <dataValidations count="2">
    <dataValidation type="list" showInputMessage="1" showErrorMessage="1" prompt="Note criteria for severe immunocompromised differs from other vaccinations and should be checked against the list in Chapter 28a - Green Book" sqref="L8:M9" xr:uid="{33BAC9D6-5A38-4C69-B34C-461ED45ACB18}">
      <formula1>"Yes,No"</formula1>
    </dataValidation>
    <dataValidation type="date" showInputMessage="1" showErrorMessage="1" errorTitle="Date of Birth Error" error="Date of birth can be on or after 01/01/1900 up until 01/01/2020.  Dates outside of this range or any other information put in are assumed to be incorrect." sqref="E8:E9 D9 D8" xr:uid="{866B454A-0F6B-4D57-ABFE-E90E5D7D3C9E}">
      <formula1>1</formula1>
      <formula2>43831</formula2>
    </dataValidation>
  </dataValidations>
  <hyperlinks>
    <hyperlink ref="D21" r:id="rId1" xr:uid="{90AA7C6C-CC54-46E3-A502-3FF554E1AF9E}"/>
    <hyperlink ref="L6" r:id="rId2" display="Chapter 28a - Green Book" xr:uid="{3559C72E-DE32-407F-9D8E-EBF6FEA45AF8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operator="greaterThan" showInputMessage="1" showErrorMessage="1" errorTitle="Date Range" error="Date Range for clinic must be after 1st September 2022" xr:uid="{2898ED37-A07A-45DE-9E85-2C85E7EA91C8}">
          <x14:formula1>
            <xm:f>Sheet1!F34</xm:f>
          </x14:formula1>
          <xm:sqref>I8:I9 H9</xm:sqref>
        </x14:dataValidation>
        <x14:dataValidation type="date" operator="greaterThanOrEqual" showInputMessage="1" showErrorMessage="1" errorTitle="Date Range" error="Date Range for clinic must be after 1st September 2022" xr:uid="{CFA33780-8A9D-4522-8E48-78BB3BA46376}">
          <x14:formula1>
            <xm:f>Sheet1!B33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6EB2-D302-447E-9DCA-A0070B3C3B3C}">
  <dimension ref="B1:O25"/>
  <sheetViews>
    <sheetView showGridLines="0" zoomScaleNormal="100" workbookViewId="0">
      <selection activeCell="D9" sqref="D9"/>
    </sheetView>
  </sheetViews>
  <sheetFormatPr defaultColWidth="8.77734375" defaultRowHeight="18" x14ac:dyDescent="0.3"/>
  <cols>
    <col min="1" max="2" width="5" style="13" customWidth="1"/>
    <col min="3" max="3" width="2.44140625" style="13" customWidth="1"/>
    <col min="4" max="4" width="39.109375" style="13" customWidth="1"/>
    <col min="5" max="5" width="2.44140625" style="13" customWidth="1"/>
    <col min="6" max="6" width="5" style="13" customWidth="1"/>
    <col min="7" max="7" width="2.44140625" style="13" customWidth="1"/>
    <col min="8" max="8" width="39.109375" style="13" customWidth="1"/>
    <col min="9" max="9" width="2.44140625" style="13" customWidth="1"/>
    <col min="10" max="10" width="5" style="13" customWidth="1"/>
    <col min="11" max="11" width="2.44140625" style="13" customWidth="1"/>
    <col min="12" max="12" width="88.33203125" style="13" customWidth="1"/>
    <col min="13" max="13" width="2.44140625" style="13" customWidth="1"/>
    <col min="14" max="26" width="5" style="13" customWidth="1"/>
    <col min="27" max="16384" width="8.77734375" style="13"/>
  </cols>
  <sheetData>
    <row r="1" spans="2:15" ht="30" customHeight="1" x14ac:dyDescent="0.3"/>
    <row r="2" spans="2:15" ht="200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5" ht="30" customHeight="1" x14ac:dyDescent="0.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5" ht="30" customHeight="1" x14ac:dyDescent="0.3">
      <c r="B4" s="29"/>
      <c r="C4" s="53"/>
      <c r="D4" s="53"/>
      <c r="E4" s="53"/>
      <c r="F4" s="29"/>
      <c r="G4" s="53"/>
      <c r="H4" s="53"/>
      <c r="I4" s="53"/>
      <c r="J4" s="29"/>
      <c r="K4" s="53"/>
      <c r="L4" s="53"/>
      <c r="M4" s="53"/>
      <c r="N4" s="29"/>
    </row>
    <row r="5" spans="2:15" ht="65" customHeight="1" x14ac:dyDescent="0.3">
      <c r="B5" s="29"/>
      <c r="C5" s="100" t="s">
        <v>96</v>
      </c>
      <c r="D5" s="100"/>
      <c r="E5" s="100"/>
      <c r="F5" s="50"/>
      <c r="G5" s="55"/>
      <c r="H5" s="54" t="s">
        <v>98</v>
      </c>
      <c r="I5" s="54"/>
      <c r="J5" s="50"/>
      <c r="K5" s="55"/>
      <c r="L5" s="99" t="s">
        <v>97</v>
      </c>
      <c r="M5" s="53"/>
      <c r="N5" s="29"/>
    </row>
    <row r="6" spans="2:15" ht="40" customHeight="1" x14ac:dyDescent="0.3">
      <c r="B6" s="29"/>
      <c r="C6" s="100"/>
      <c r="D6" s="100"/>
      <c r="E6" s="100"/>
      <c r="F6" s="50"/>
      <c r="G6" s="55"/>
      <c r="H6" s="56" t="s">
        <v>58</v>
      </c>
      <c r="I6" s="56"/>
      <c r="J6" s="50"/>
      <c r="K6" s="55"/>
      <c r="L6" s="99"/>
      <c r="M6" s="53"/>
      <c r="N6" s="29"/>
    </row>
    <row r="7" spans="2:15" ht="15" customHeight="1" x14ac:dyDescent="0.3">
      <c r="B7" s="29"/>
      <c r="C7" s="29"/>
      <c r="D7" s="46"/>
      <c r="E7" s="11"/>
      <c r="F7" s="31"/>
      <c r="G7" s="31"/>
      <c r="H7" s="45"/>
      <c r="I7" s="40"/>
      <c r="J7" s="31"/>
      <c r="K7" s="15"/>
      <c r="L7" s="44"/>
      <c r="M7" s="12"/>
      <c r="N7" s="29"/>
    </row>
    <row r="8" spans="2:15" ht="30" customHeight="1" x14ac:dyDescent="0.3">
      <c r="B8" s="29"/>
      <c r="C8" s="29"/>
      <c r="D8" s="14">
        <v>45265</v>
      </c>
      <c r="E8" s="14"/>
      <c r="F8" s="35"/>
      <c r="G8" s="35"/>
      <c r="H8" s="36" t="s">
        <v>11</v>
      </c>
      <c r="I8" s="36"/>
      <c r="J8" s="35"/>
      <c r="K8" s="35"/>
      <c r="L8" s="35" t="str">
        <f>IF(D8="","",IF(H8="yes",_xlfn.CONCAT(Sheet1!C14," – ",Sheet1!C15),_xlfn.CONCAT(Sheet1!C15," – ",Sheet1!C16)))</f>
        <v>5 Jun 2024 – 5 Dec 2024</v>
      </c>
      <c r="M8" s="29"/>
      <c r="N8" s="29"/>
    </row>
    <row r="9" spans="2:15" ht="15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2:15" ht="30" customHeight="1" x14ac:dyDescent="0.3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2:15" ht="45" customHeight="1" x14ac:dyDescent="0.3">
      <c r="B11" s="29"/>
      <c r="C11" s="96" t="s">
        <v>86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29"/>
    </row>
    <row r="12" spans="2:15" ht="30" customHeight="1" x14ac:dyDescent="0.3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2:15" ht="90" customHeight="1" x14ac:dyDescent="0.3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2:15" ht="30" customHeight="1" x14ac:dyDescent="0.3">
      <c r="B14" s="29"/>
      <c r="C14" s="66"/>
      <c r="D14" s="85" t="s">
        <v>85</v>
      </c>
      <c r="E14" s="85"/>
      <c r="F14" s="85"/>
      <c r="G14" s="85"/>
      <c r="H14" s="85"/>
      <c r="I14" s="85"/>
      <c r="J14" s="85"/>
      <c r="K14" s="85"/>
      <c r="L14" s="85"/>
      <c r="M14" s="41"/>
      <c r="N14" s="42"/>
      <c r="O14" s="39"/>
    </row>
    <row r="15" spans="2:15" ht="15" customHeight="1" x14ac:dyDescent="0.3">
      <c r="B15" s="29"/>
      <c r="C15" s="29"/>
      <c r="D15" s="98" t="s">
        <v>57</v>
      </c>
      <c r="E15" s="98"/>
      <c r="F15" s="98"/>
      <c r="G15" s="98"/>
      <c r="H15" s="98"/>
      <c r="I15" s="98"/>
      <c r="J15" s="98"/>
      <c r="K15" s="98"/>
      <c r="L15" s="98"/>
      <c r="M15" s="29"/>
      <c r="N15" s="29"/>
    </row>
    <row r="16" spans="2:15" ht="30" customHeight="1" x14ac:dyDescent="0.3">
      <c r="B16" s="29"/>
      <c r="C16" s="29"/>
      <c r="D16" s="43"/>
      <c r="E16" s="43"/>
      <c r="F16" s="43"/>
      <c r="G16" s="43"/>
      <c r="H16" s="43"/>
      <c r="I16" s="43"/>
      <c r="J16" s="43"/>
      <c r="K16" s="43"/>
      <c r="L16" s="43"/>
      <c r="M16" s="29"/>
      <c r="N16" s="29"/>
    </row>
    <row r="17" spans="2:14" ht="45" customHeight="1" x14ac:dyDescent="0.3">
      <c r="B17" s="29"/>
      <c r="C17" s="29"/>
      <c r="D17" s="84" t="s">
        <v>90</v>
      </c>
      <c r="E17" s="84"/>
      <c r="F17" s="97"/>
      <c r="G17" s="97"/>
      <c r="H17" s="97"/>
      <c r="I17" s="97"/>
      <c r="J17" s="97"/>
      <c r="K17" s="97"/>
      <c r="L17" s="97"/>
      <c r="M17" s="97"/>
      <c r="N17" s="29"/>
    </row>
    <row r="18" spans="2:14" ht="30" customHeight="1" x14ac:dyDescent="0.3"/>
    <row r="19" spans="2:14" ht="30" customHeight="1" x14ac:dyDescent="0.3"/>
    <row r="20" spans="2:14" ht="30" customHeight="1" x14ac:dyDescent="0.3"/>
    <row r="21" spans="2:14" ht="30" customHeight="1" x14ac:dyDescent="0.3"/>
    <row r="22" spans="2:14" ht="30" customHeight="1" x14ac:dyDescent="0.3"/>
    <row r="23" spans="2:14" ht="30" customHeight="1" x14ac:dyDescent="0.3"/>
    <row r="24" spans="2:14" ht="30" customHeight="1" x14ac:dyDescent="0.3"/>
    <row r="25" spans="2:14" ht="30" customHeight="1" x14ac:dyDescent="0.3"/>
  </sheetData>
  <sheetProtection algorithmName="SHA-512" hashValue="yZXVGmQHuzFupda984lEET6zBkfcaDis9ipHmtcNd6+D//RYFXQG0TWjvcRh1i+vvSW8nmHPejUmBMoJ61/+YQ==" saltValue="pby0HH3sdEx8EDkFXfvxgA==" spinCount="100000" sheet="1" objects="1" scenarios="1"/>
  <mergeCells count="7">
    <mergeCell ref="B2:N2"/>
    <mergeCell ref="C11:M11"/>
    <mergeCell ref="D17:M17"/>
    <mergeCell ref="D15:L15"/>
    <mergeCell ref="D14:L14"/>
    <mergeCell ref="L5:L6"/>
    <mergeCell ref="C5:E6"/>
  </mergeCells>
  <dataValidations count="2">
    <dataValidation type="date" errorStyle="information" showInputMessage="1" showErrorMessage="1" errorTitle="Error" error="Calculator assumes first dose given between 01/09/2022 and 31/08/2033" sqref="D8:E8" xr:uid="{F5BF36BD-5A3E-4008-A1B7-43725F9B93C8}">
      <formula1>44805</formula1>
      <formula2>48822</formula2>
    </dataValidation>
    <dataValidation type="list" showInputMessage="1" showErrorMessage="1" sqref="H8:I8" xr:uid="{EEF8FDEE-5BFF-44E1-9E43-DF189D219483}">
      <formula1>"Yes,No"</formula1>
    </dataValidation>
  </dataValidations>
  <hyperlinks>
    <hyperlink ref="D15" r:id="rId1" xr:uid="{3EAC0818-AEAA-4DCE-BEE3-CC5F73C6C427}"/>
    <hyperlink ref="H6" r:id="rId2" xr:uid="{4C354D34-87C9-44DF-BC63-7534FDAC69A8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EA90C-40F1-4605-B4BC-E6B50F3066EA}">
  <dimension ref="B1:I21"/>
  <sheetViews>
    <sheetView showGridLines="0" zoomScaleNormal="100" workbookViewId="0">
      <selection activeCell="C6" sqref="C6:E6"/>
    </sheetView>
  </sheetViews>
  <sheetFormatPr defaultColWidth="8.77734375" defaultRowHeight="14.7" x14ac:dyDescent="0.25"/>
  <cols>
    <col min="1" max="2" width="5" style="21" customWidth="1"/>
    <col min="3" max="3" width="95.77734375" style="21" customWidth="1"/>
    <col min="4" max="4" width="5" style="21" customWidth="1"/>
    <col min="5" max="5" width="95.77734375" style="21" customWidth="1"/>
    <col min="6" max="6" width="5" style="21" customWidth="1"/>
    <col min="7" max="16384" width="8.77734375" style="21"/>
  </cols>
  <sheetData>
    <row r="1" spans="2:9" ht="30" customHeight="1" x14ac:dyDescent="0.25"/>
    <row r="2" spans="2:9" ht="200" customHeight="1" x14ac:dyDescent="0.25">
      <c r="B2" s="68"/>
      <c r="C2" s="68"/>
      <c r="D2" s="68"/>
      <c r="E2" s="68"/>
      <c r="F2" s="68"/>
    </row>
    <row r="3" spans="2:9" ht="30" customHeight="1" x14ac:dyDescent="0.25">
      <c r="B3" s="6"/>
      <c r="C3" s="6"/>
      <c r="D3" s="6"/>
      <c r="E3" s="6"/>
      <c r="F3" s="6"/>
    </row>
    <row r="4" spans="2:9" ht="60" customHeight="1" x14ac:dyDescent="0.25">
      <c r="B4" s="6"/>
      <c r="C4" s="103" t="s">
        <v>99</v>
      </c>
      <c r="D4" s="103"/>
      <c r="E4" s="103"/>
      <c r="F4" s="6"/>
    </row>
    <row r="5" spans="2:9" ht="15" customHeight="1" x14ac:dyDescent="0.25">
      <c r="B5" s="6"/>
      <c r="C5" s="60"/>
      <c r="D5" s="60"/>
      <c r="E5" s="60"/>
      <c r="F5" s="6"/>
    </row>
    <row r="6" spans="2:9" ht="30" customHeight="1" x14ac:dyDescent="0.25">
      <c r="B6" s="6"/>
      <c r="C6" s="104" t="s">
        <v>0</v>
      </c>
      <c r="D6" s="104"/>
      <c r="E6" s="104"/>
      <c r="F6" s="6"/>
    </row>
    <row r="7" spans="2:9" ht="30" customHeight="1" x14ac:dyDescent="0.25">
      <c r="B7" s="6"/>
      <c r="C7" s="6"/>
      <c r="D7" s="6"/>
      <c r="E7" s="6"/>
      <c r="F7" s="6"/>
    </row>
    <row r="8" spans="2:9" ht="30" customHeight="1" x14ac:dyDescent="0.25">
      <c r="B8" s="6"/>
      <c r="C8" s="17"/>
      <c r="D8" s="6"/>
      <c r="E8" s="17"/>
      <c r="F8" s="6"/>
    </row>
    <row r="9" spans="2:9" ht="79" customHeight="1" x14ac:dyDescent="0.25">
      <c r="B9" s="6"/>
      <c r="C9" s="47" t="s">
        <v>100</v>
      </c>
      <c r="D9" s="61"/>
      <c r="E9" s="62" t="s">
        <v>88</v>
      </c>
      <c r="F9" s="6"/>
    </row>
    <row r="10" spans="2:9" s="57" customFormat="1" ht="30" customHeight="1" x14ac:dyDescent="0.25">
      <c r="B10" s="59"/>
      <c r="C10" s="107" t="str">
        <f>VLOOKUP(C6,Sheet1!R1:S10,2,FALSE)</f>
        <v>A patient will be eligible from their 50th bithday (no upper age limit)</v>
      </c>
      <c r="D10" s="35"/>
      <c r="E10" s="63" t="str">
        <f>VLOOKUP(C6,Sheet1!$R$1:$T$10,3,FALSE)</f>
        <v>Patients who will turn 65 or 70 between 1st September 2023 - 31st August 2024</v>
      </c>
      <c r="F10" s="59"/>
    </row>
    <row r="11" spans="2:9" s="57" customFormat="1" ht="30" customHeight="1" x14ac:dyDescent="0.3">
      <c r="B11" s="59"/>
      <c r="C11" s="107"/>
      <c r="D11" s="35"/>
      <c r="E11" s="64" t="str">
        <f>VLOOKUP(C6,Sheet1!$R$1:$U$10,4,FALSE)</f>
        <v>Patients born on or before 31 August 1953 up until their 80th birthday</v>
      </c>
      <c r="F11" s="59"/>
    </row>
    <row r="12" spans="2:9" ht="30" customHeight="1" x14ac:dyDescent="0.25">
      <c r="B12" s="6"/>
      <c r="C12" s="6"/>
      <c r="D12" s="6"/>
      <c r="E12" s="6"/>
      <c r="F12" s="6"/>
    </row>
    <row r="13" spans="2:9" ht="45" customHeight="1" x14ac:dyDescent="0.25">
      <c r="B13" s="6"/>
      <c r="C13" s="106" t="s">
        <v>54</v>
      </c>
      <c r="D13" s="106"/>
      <c r="E13" s="106"/>
      <c r="F13" s="6"/>
    </row>
    <row r="14" spans="2:9" ht="15" customHeight="1" x14ac:dyDescent="0.25">
      <c r="B14" s="6"/>
      <c r="C14" s="65"/>
      <c r="D14" s="65"/>
      <c r="E14" s="65"/>
      <c r="F14" s="6"/>
    </row>
    <row r="15" spans="2:9" ht="409" customHeight="1" x14ac:dyDescent="0.25">
      <c r="B15" s="6"/>
      <c r="C15" s="105" t="s">
        <v>101</v>
      </c>
      <c r="D15" s="105"/>
      <c r="E15" s="105"/>
      <c r="F15" s="6"/>
      <c r="I15" s="58"/>
    </row>
    <row r="16" spans="2:9" ht="30" customHeight="1" x14ac:dyDescent="0.25">
      <c r="B16" s="6"/>
      <c r="C16" s="6"/>
      <c r="D16" s="6"/>
      <c r="E16" s="6"/>
      <c r="F16" s="6"/>
    </row>
    <row r="17" spans="2:6" ht="45" customHeight="1" x14ac:dyDescent="0.25">
      <c r="B17" s="6"/>
      <c r="C17" s="5" t="s">
        <v>87</v>
      </c>
      <c r="D17" s="102" t="s">
        <v>58</v>
      </c>
      <c r="E17" s="102"/>
      <c r="F17" s="6"/>
    </row>
    <row r="18" spans="2:6" ht="30" customHeight="1" x14ac:dyDescent="0.25">
      <c r="B18" s="6"/>
      <c r="C18" s="6"/>
      <c r="D18" s="6"/>
      <c r="E18" s="6"/>
      <c r="F18" s="6"/>
    </row>
    <row r="19" spans="2:6" ht="90" customHeight="1" x14ac:dyDescent="0.25">
      <c r="B19" s="6"/>
      <c r="C19" s="6"/>
      <c r="D19" s="6"/>
      <c r="E19" s="6"/>
      <c r="F19" s="6"/>
    </row>
    <row r="20" spans="2:6" ht="30" customHeight="1" x14ac:dyDescent="0.25">
      <c r="B20" s="6"/>
      <c r="C20" s="101" t="s">
        <v>90</v>
      </c>
      <c r="D20" s="101"/>
      <c r="E20" s="101"/>
      <c r="F20" s="6"/>
    </row>
    <row r="21" spans="2:6" ht="40" customHeight="1" x14ac:dyDescent="0.25">
      <c r="B21" s="6"/>
      <c r="C21" s="6"/>
      <c r="D21" s="6"/>
      <c r="E21" s="6"/>
      <c r="F21" s="6"/>
    </row>
  </sheetData>
  <sheetProtection algorithmName="SHA-512" hashValue="5MqSL7Y6dAtJaGiuuNfyqH+BkrGXwP9aK+gBbl6TrQbEKFs+gZYi9k5j+SwIH4PXnb2eZPvSuKM/5/np29ToTg==" saltValue="+5ATn7PHN4/AxqwQOB9F8g==" spinCount="100000" sheet="1" objects="1" scenarios="1"/>
  <mergeCells count="7">
    <mergeCell ref="C20:E20"/>
    <mergeCell ref="D17:E17"/>
    <mergeCell ref="C4:E4"/>
    <mergeCell ref="C6:E6"/>
    <mergeCell ref="C15:E15"/>
    <mergeCell ref="C13:E13"/>
    <mergeCell ref="C10:C11"/>
  </mergeCells>
  <dataValidations count="1">
    <dataValidation type="list" showInputMessage="1" showErrorMessage="1" sqref="C6" xr:uid="{49E8AB36-C84C-4722-8E1D-9F4E2A259F56}">
      <formula1>"2023-24,2024-25,2025-26,2026-27,2027-28,2028-29,2029-30,2030-31,2031-32,2032-33"</formula1>
    </dataValidation>
  </dataValidations>
  <hyperlinks>
    <hyperlink ref="D17" r:id="rId1" xr:uid="{DFAED24C-8F3A-44C8-B1AF-2E3E6304EF7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5B31-71BC-4D7A-A359-9D687042869B}">
  <dimension ref="B1:G16"/>
  <sheetViews>
    <sheetView showGridLines="0" tabSelected="1" workbookViewId="0">
      <selection activeCell="C20" sqref="C20"/>
    </sheetView>
  </sheetViews>
  <sheetFormatPr defaultColWidth="8.77734375" defaultRowHeight="14.7" x14ac:dyDescent="0.25"/>
  <cols>
    <col min="1" max="2" width="5" style="3" customWidth="1"/>
    <col min="3" max="3" width="196.6640625" style="3" customWidth="1"/>
    <col min="4" max="4" width="5" style="3" customWidth="1"/>
    <col min="5" max="5" width="5" style="6" customWidth="1"/>
    <col min="6" max="16384" width="8.77734375" style="3"/>
  </cols>
  <sheetData>
    <row r="1" spans="2:7" ht="30" customHeight="1" x14ac:dyDescent="0.25"/>
    <row r="2" spans="2:7" ht="200" customHeight="1" x14ac:dyDescent="0.25">
      <c r="B2" s="6"/>
      <c r="C2" s="6"/>
      <c r="D2" s="6"/>
      <c r="F2" s="6"/>
      <c r="G2" s="6"/>
    </row>
    <row r="3" spans="2:7" ht="30" customHeight="1" x14ac:dyDescent="0.25">
      <c r="B3" s="8"/>
      <c r="C3" s="8"/>
      <c r="D3" s="8"/>
    </row>
    <row r="4" spans="2:7" s="7" customFormat="1" ht="40" customHeight="1" x14ac:dyDescent="0.25">
      <c r="B4" s="9"/>
      <c r="C4" s="69" t="s">
        <v>89</v>
      </c>
      <c r="D4" s="9"/>
      <c r="E4" s="67"/>
    </row>
    <row r="5" spans="2:7" x14ac:dyDescent="0.25">
      <c r="B5" s="8"/>
      <c r="C5" s="8"/>
      <c r="D5" s="8"/>
    </row>
    <row r="6" spans="2:7" ht="93" customHeight="1" x14ac:dyDescent="0.25">
      <c r="B6" s="8"/>
      <c r="C6" s="10" t="s">
        <v>103</v>
      </c>
      <c r="D6" s="8"/>
    </row>
    <row r="7" spans="2:7" ht="15" customHeight="1" x14ac:dyDescent="0.25">
      <c r="B7" s="8"/>
      <c r="C7" s="10"/>
      <c r="D7" s="8"/>
    </row>
    <row r="8" spans="2:7" ht="245" customHeight="1" x14ac:dyDescent="0.25">
      <c r="B8" s="8"/>
      <c r="C8" s="10" t="s">
        <v>102</v>
      </c>
      <c r="D8" s="8"/>
    </row>
    <row r="9" spans="2:7" ht="30" customHeight="1" x14ac:dyDescent="0.25">
      <c r="B9" s="8"/>
      <c r="C9" s="8"/>
      <c r="D9" s="8"/>
    </row>
    <row r="10" spans="2:7" ht="45" customHeight="1" x14ac:dyDescent="0.3">
      <c r="B10" s="8"/>
      <c r="C10" s="72" t="s">
        <v>105</v>
      </c>
      <c r="D10" s="70"/>
    </row>
    <row r="11" spans="2:7" ht="8" customHeight="1" x14ac:dyDescent="0.3">
      <c r="B11" s="8"/>
      <c r="C11" s="72"/>
      <c r="D11" s="70"/>
    </row>
    <row r="12" spans="2:7" ht="45" customHeight="1" x14ac:dyDescent="0.25">
      <c r="B12" s="8"/>
      <c r="C12" s="73" t="s">
        <v>104</v>
      </c>
      <c r="D12" s="70"/>
    </row>
    <row r="13" spans="2:7" ht="30" customHeight="1" x14ac:dyDescent="0.25">
      <c r="B13" s="8"/>
      <c r="C13" s="8"/>
      <c r="D13" s="8"/>
    </row>
    <row r="14" spans="2:7" ht="70" customHeight="1" x14ac:dyDescent="0.25"/>
    <row r="15" spans="2:7" ht="30" customHeight="1" x14ac:dyDescent="0.25">
      <c r="B15" s="109"/>
      <c r="C15" s="109"/>
      <c r="D15" s="109"/>
    </row>
    <row r="16" spans="2:7" ht="30" customHeight="1" x14ac:dyDescent="0.25">
      <c r="B16" s="108" t="s">
        <v>90</v>
      </c>
      <c r="C16" s="108"/>
      <c r="D16" s="108"/>
      <c r="E16" s="71"/>
    </row>
  </sheetData>
  <sheetProtection algorithmName="SHA-512" hashValue="BZGd55IEn3p0V0liK196znQY0tqKUBlRgCu3XEsXKwZGt1/TkqjBx+ZM/H5P034uoQRtPPsUp+oJZkWwERxQBQ==" saltValue="d7em2+xcOm483pQuuUHXjQ==" spinCount="100000" sheet="1" objects="1" scenarios="1"/>
  <mergeCells count="2">
    <mergeCell ref="B16:D16"/>
    <mergeCell ref="B15:D15"/>
  </mergeCells>
  <hyperlinks>
    <hyperlink ref="C10" r:id="rId1" display="Letter detailing Changes to Shingles Vaccination Programme from 1st September 2023" xr:uid="{53F0E9B8-56B3-4F4C-9797-34FF1EEB27C9}"/>
    <hyperlink ref="C12" r:id="rId2" display="Healthcare professional  guidance" xr:uid="{206F4141-4371-3948-83CC-FBA95D294B70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AB09-8F0F-46F6-ACC2-665BB028605F}">
  <dimension ref="A1:AB57"/>
  <sheetViews>
    <sheetView workbookViewId="0">
      <selection activeCell="H5" sqref="H5"/>
    </sheetView>
  </sheetViews>
  <sheetFormatPr defaultColWidth="8.77734375" defaultRowHeight="15.35" x14ac:dyDescent="0.3"/>
  <cols>
    <col min="1" max="1" width="25.77734375" customWidth="1"/>
    <col min="2" max="2" width="10.77734375" bestFit="1" customWidth="1"/>
    <col min="3" max="3" width="12" customWidth="1"/>
    <col min="4" max="5" width="10.44140625" bestFit="1" customWidth="1"/>
    <col min="6" max="6" width="17.44140625" customWidth="1"/>
    <col min="7" max="7" width="10.44140625" bestFit="1" customWidth="1"/>
    <col min="8" max="8" width="12" bestFit="1" customWidth="1"/>
    <col min="11" max="11" width="11.109375" customWidth="1"/>
    <col min="12" max="12" width="11.44140625" customWidth="1"/>
    <col min="15" max="15" width="10.44140625" bestFit="1" customWidth="1"/>
    <col min="16" max="16" width="50" customWidth="1"/>
    <col min="19" max="19" width="40.109375" bestFit="1" customWidth="1"/>
    <col min="20" max="20" width="70.77734375" customWidth="1"/>
    <col min="21" max="21" width="55" customWidth="1"/>
    <col min="22" max="22" width="58.44140625" bestFit="1" customWidth="1"/>
  </cols>
  <sheetData>
    <row r="1" spans="1:28" x14ac:dyDescent="0.3">
      <c r="A1" t="s">
        <v>59</v>
      </c>
      <c r="B1">
        <v>70</v>
      </c>
      <c r="C1">
        <v>70</v>
      </c>
      <c r="D1" s="1">
        <v>45170</v>
      </c>
      <c r="E1">
        <v>70</v>
      </c>
      <c r="G1" t="s">
        <v>18</v>
      </c>
      <c r="H1">
        <f>VLOOKUP(F39,Sheet1!$A$1:$E$12,5)</f>
        <v>70</v>
      </c>
      <c r="J1">
        <v>0</v>
      </c>
      <c r="K1" s="2" t="s">
        <v>19</v>
      </c>
      <c r="R1" t="s">
        <v>0</v>
      </c>
      <c r="S1" t="s">
        <v>24</v>
      </c>
      <c r="T1" t="s">
        <v>25</v>
      </c>
      <c r="U1" t="s">
        <v>39</v>
      </c>
      <c r="V1" t="s">
        <v>53</v>
      </c>
    </row>
    <row r="2" spans="1:28" x14ac:dyDescent="0.3">
      <c r="A2" t="s">
        <v>0</v>
      </c>
      <c r="B2">
        <v>66</v>
      </c>
      <c r="C2">
        <v>65</v>
      </c>
      <c r="D2" s="1">
        <f>DATE(YEAR(D1)+1,MONTH(D1),DAY(D1))</f>
        <v>45536</v>
      </c>
      <c r="E2">
        <v>70</v>
      </c>
      <c r="G2" t="s">
        <v>5</v>
      </c>
      <c r="H2">
        <f>VLOOKUP(F39,Sheet1!A1:C12,3)</f>
        <v>65</v>
      </c>
      <c r="J2">
        <v>1</v>
      </c>
      <c r="K2" s="2" t="s">
        <v>56</v>
      </c>
      <c r="R2" t="s">
        <v>1</v>
      </c>
      <c r="S2" t="s">
        <v>24</v>
      </c>
      <c r="T2" t="s">
        <v>26</v>
      </c>
      <c r="U2" t="s">
        <v>35</v>
      </c>
      <c r="V2" t="s">
        <v>40</v>
      </c>
    </row>
    <row r="3" spans="1:28" x14ac:dyDescent="0.3">
      <c r="A3" t="s">
        <v>1</v>
      </c>
      <c r="B3">
        <v>67</v>
      </c>
      <c r="C3">
        <v>65</v>
      </c>
      <c r="D3" s="1">
        <f t="shared" ref="D3:D11" si="0">DATE(YEAR(D2)+1,MONTH(D2),DAY(D2))</f>
        <v>45901</v>
      </c>
      <c r="E3">
        <v>70</v>
      </c>
      <c r="G3" t="s">
        <v>6</v>
      </c>
      <c r="H3" s="1">
        <f>VLOOKUP(F39,Sheet1!A1:D12,4)</f>
        <v>45536</v>
      </c>
      <c r="I3">
        <f>VLOOKUP(F39,A1:B12,2,FALSE)</f>
        <v>66</v>
      </c>
      <c r="J3">
        <v>2</v>
      </c>
      <c r="K3" s="2" t="s">
        <v>55</v>
      </c>
      <c r="R3" t="s">
        <v>2</v>
      </c>
      <c r="S3" t="s">
        <v>24</v>
      </c>
      <c r="T3" t="s">
        <v>27</v>
      </c>
      <c r="U3" t="s">
        <v>36</v>
      </c>
      <c r="V3" t="s">
        <v>41</v>
      </c>
    </row>
    <row r="4" spans="1:28" x14ac:dyDescent="0.3">
      <c r="A4" t="s">
        <v>2</v>
      </c>
      <c r="B4">
        <v>68</v>
      </c>
      <c r="C4">
        <v>65</v>
      </c>
      <c r="D4" s="1">
        <f t="shared" si="0"/>
        <v>46266</v>
      </c>
      <c r="E4">
        <v>70</v>
      </c>
      <c r="G4" t="s">
        <v>7</v>
      </c>
      <c r="H4">
        <f>DATEDIF(Calculator!D8,Calculator!H8,"y")</f>
        <v>70</v>
      </c>
      <c r="I4">
        <f>ROUNDDOWN(Sheet1!H4,0)</f>
        <v>70</v>
      </c>
      <c r="J4">
        <v>3</v>
      </c>
      <c r="K4" t="str">
        <f>"- If only 1 dose Shigrix has been given so far second dose must be given BEFORE patients 81st Birthday on "&amp;TEXT(DATE(YEAR(Calculator!D8)+81,MONTH(Calculator!D8),DAY(Calculator!D8)),"DD/MM/YYYY")</f>
        <v>- If only 1 dose Shigrix has been given so far second dose must be given BEFORE patients 81st Birthday on 01/09/2034</v>
      </c>
      <c r="R4" t="s">
        <v>3</v>
      </c>
      <c r="S4" t="s">
        <v>24</v>
      </c>
      <c r="T4" t="s">
        <v>28</v>
      </c>
      <c r="U4" t="s">
        <v>37</v>
      </c>
      <c r="V4" t="s">
        <v>42</v>
      </c>
    </row>
    <row r="5" spans="1:28" x14ac:dyDescent="0.3">
      <c r="A5" t="s">
        <v>3</v>
      </c>
      <c r="B5">
        <v>69</v>
      </c>
      <c r="C5">
        <v>65</v>
      </c>
      <c r="D5" s="1">
        <f t="shared" si="0"/>
        <v>46631</v>
      </c>
      <c r="E5">
        <v>70</v>
      </c>
      <c r="G5" t="s">
        <v>8</v>
      </c>
      <c r="H5" t="b">
        <f>IF(AND(H4&lt;80,H4&gt;=H1),TRUE,FALSE)</f>
        <v>1</v>
      </c>
      <c r="I5">
        <f>ROUNDUP(Sheet1!H4,0)</f>
        <v>70</v>
      </c>
      <c r="R5" t="s">
        <v>4</v>
      </c>
      <c r="S5" t="s">
        <v>24</v>
      </c>
      <c r="T5" t="s">
        <v>29</v>
      </c>
      <c r="U5" t="s">
        <v>38</v>
      </c>
      <c r="V5" t="s">
        <v>43</v>
      </c>
    </row>
    <row r="6" spans="1:28" x14ac:dyDescent="0.3">
      <c r="A6" t="s">
        <v>4</v>
      </c>
      <c r="B6">
        <v>70</v>
      </c>
      <c r="C6">
        <v>65</v>
      </c>
      <c r="D6" s="1">
        <f t="shared" si="0"/>
        <v>46997</v>
      </c>
      <c r="E6">
        <v>70</v>
      </c>
      <c r="G6" t="s">
        <v>9</v>
      </c>
      <c r="H6" t="b">
        <f>IF(AND(I10,J10,K10,L10),TRUE,FALSE)</f>
        <v>0</v>
      </c>
      <c r="J6">
        <f>IF(AND(Calculator!P8=80,Calculator!L8="No"),3,IF(Calculator!$C$12=FALSE,0,IF(Calculator!$L$8="Yes",1,2)))</f>
        <v>2</v>
      </c>
      <c r="R6" t="s">
        <v>13</v>
      </c>
      <c r="S6" t="s">
        <v>24</v>
      </c>
      <c r="T6" t="s">
        <v>30</v>
      </c>
      <c r="U6" t="s">
        <v>44</v>
      </c>
      <c r="V6" t="s">
        <v>53</v>
      </c>
    </row>
    <row r="7" spans="1:28" x14ac:dyDescent="0.3">
      <c r="A7" t="s">
        <v>13</v>
      </c>
      <c r="B7">
        <v>61</v>
      </c>
      <c r="C7">
        <v>60</v>
      </c>
      <c r="D7" s="1">
        <f t="shared" si="0"/>
        <v>47362</v>
      </c>
      <c r="E7">
        <v>65</v>
      </c>
      <c r="G7" t="s">
        <v>10</v>
      </c>
      <c r="H7" t="b">
        <f>IF(AND(F17=50,Calculator!L8="Yes",Calculator!H8&gt;=Sheet1!D1),TRUE,IF(AND(H4&gt;50,Calculator!L8="Yes",Calculator!H8&gt;=Sheet1!D1),TRUE,FALSE))</f>
        <v>0</v>
      </c>
      <c r="R7" t="s">
        <v>14</v>
      </c>
      <c r="S7" t="s">
        <v>24</v>
      </c>
      <c r="T7" t="s">
        <v>31</v>
      </c>
      <c r="U7" t="s">
        <v>49</v>
      </c>
      <c r="V7" t="s">
        <v>45</v>
      </c>
    </row>
    <row r="8" spans="1:28" x14ac:dyDescent="0.3">
      <c r="A8" t="s">
        <v>14</v>
      </c>
      <c r="B8">
        <v>62</v>
      </c>
      <c r="C8">
        <v>60</v>
      </c>
      <c r="D8" s="1">
        <f t="shared" si="0"/>
        <v>47727</v>
      </c>
      <c r="E8">
        <v>65</v>
      </c>
      <c r="G8" t="s">
        <v>12</v>
      </c>
      <c r="H8" t="b">
        <f>IF(OR(H5=TRUE,H6=TRUE,H7=TRUE),TRUE,FALSE)</f>
        <v>1</v>
      </c>
      <c r="R8" t="s">
        <v>15</v>
      </c>
      <c r="S8" t="s">
        <v>24</v>
      </c>
      <c r="T8" t="s">
        <v>32</v>
      </c>
      <c r="U8" t="s">
        <v>50</v>
      </c>
      <c r="V8" t="s">
        <v>46</v>
      </c>
    </row>
    <row r="9" spans="1:28" x14ac:dyDescent="0.3">
      <c r="A9" t="s">
        <v>15</v>
      </c>
      <c r="B9">
        <v>63</v>
      </c>
      <c r="C9">
        <v>60</v>
      </c>
      <c r="D9" s="1">
        <f t="shared" si="0"/>
        <v>48092</v>
      </c>
      <c r="E9">
        <v>65</v>
      </c>
      <c r="R9" t="s">
        <v>16</v>
      </c>
      <c r="S9" t="s">
        <v>24</v>
      </c>
      <c r="T9" t="s">
        <v>33</v>
      </c>
      <c r="U9" t="s">
        <v>51</v>
      </c>
      <c r="V9" t="s">
        <v>47</v>
      </c>
    </row>
    <row r="10" spans="1:28" x14ac:dyDescent="0.3">
      <c r="A10" t="s">
        <v>16</v>
      </c>
      <c r="B10">
        <v>64</v>
      </c>
      <c r="C10">
        <v>60</v>
      </c>
      <c r="D10" s="1">
        <f t="shared" si="0"/>
        <v>48458</v>
      </c>
      <c r="E10">
        <v>65</v>
      </c>
      <c r="I10" t="b">
        <f>F17&gt;=VLOOKUP(F39,A1:C12,3,FALSE)</f>
        <v>1</v>
      </c>
      <c r="J10" t="b">
        <f>F17&lt;=VLOOKUP(F39,A1:C12,2,FALSE)</f>
        <v>0</v>
      </c>
      <c r="K10" t="b">
        <f>I4&lt;=VLOOKUP(F39,A1:C12,2,FALSE)</f>
        <v>0</v>
      </c>
      <c r="L10" t="b">
        <f>F16&lt;=VLOOKUP(F39,A1:C12,2,FALSE)</f>
        <v>0</v>
      </c>
      <c r="R10" t="s">
        <v>17</v>
      </c>
      <c r="S10" t="s">
        <v>24</v>
      </c>
      <c r="T10" t="s">
        <v>34</v>
      </c>
      <c r="U10" t="s">
        <v>52</v>
      </c>
      <c r="V10" t="s">
        <v>48</v>
      </c>
      <c r="AB10">
        <f>2033-60</f>
        <v>1973</v>
      </c>
    </row>
    <row r="11" spans="1:28" x14ac:dyDescent="0.3">
      <c r="A11" t="s">
        <v>17</v>
      </c>
      <c r="B11">
        <v>65</v>
      </c>
      <c r="C11">
        <v>60</v>
      </c>
      <c r="D11" s="1">
        <f t="shared" si="0"/>
        <v>48823</v>
      </c>
      <c r="E11">
        <v>65</v>
      </c>
    </row>
    <row r="12" spans="1:28" x14ac:dyDescent="0.3">
      <c r="A12" t="s">
        <v>62</v>
      </c>
      <c r="B12">
        <v>70</v>
      </c>
      <c r="C12">
        <v>60</v>
      </c>
      <c r="D12" s="1">
        <f>IFERROR(DATE(YEAR(D1)+(DATEDIF(Sheet1!D1,Calculator!H8,"y"))+1,MONTH(D1),DAY(D1)),45170)</f>
        <v>45536</v>
      </c>
      <c r="E12">
        <v>60</v>
      </c>
    </row>
    <row r="14" spans="1:28" x14ac:dyDescent="0.3">
      <c r="A14" s="2" t="s">
        <v>22</v>
      </c>
      <c r="B14" s="4">
        <f>'2nd Dose Due'!D8+56</f>
        <v>45321</v>
      </c>
      <c r="C14" t="str">
        <f>TEXT(B14,"d mmm yyyy")</f>
        <v>30 Jan 2024</v>
      </c>
      <c r="H14" t="s">
        <v>23</v>
      </c>
    </row>
    <row r="15" spans="1:28" x14ac:dyDescent="0.3">
      <c r="A15" s="2" t="s">
        <v>20</v>
      </c>
      <c r="B15" s="4">
        <f>EDATE('2nd Dose Due'!D8,6)</f>
        <v>45448</v>
      </c>
      <c r="C15" t="str">
        <f t="shared" ref="C15:C16" si="1">TEXT(B15,"d mmm yyyy")</f>
        <v>5 Jun 2024</v>
      </c>
      <c r="H15" t="s">
        <v>74</v>
      </c>
    </row>
    <row r="16" spans="1:28" x14ac:dyDescent="0.3">
      <c r="A16" s="2" t="s">
        <v>21</v>
      </c>
      <c r="B16" s="4">
        <f>EDATE('2nd Dose Due'!D8,12)</f>
        <v>45631</v>
      </c>
      <c r="C16" t="str">
        <f t="shared" si="1"/>
        <v>5 Dec 2024</v>
      </c>
      <c r="E16" t="s">
        <v>76</v>
      </c>
      <c r="F16">
        <f>YEARFRAC(Calculator!D8,VLOOKUP(Sheet1!F39,Sheet1!A1:D12,4,FALSE))</f>
        <v>71</v>
      </c>
      <c r="H16" t="s">
        <v>77</v>
      </c>
    </row>
    <row r="17" spans="1:19" x14ac:dyDescent="0.3">
      <c r="E17" t="s">
        <v>61</v>
      </c>
      <c r="F17">
        <f>DATEDIF(Calculator!D8,Calculator!H8,"y")</f>
        <v>70</v>
      </c>
    </row>
    <row r="18" spans="1:19" x14ac:dyDescent="0.3">
      <c r="C18" s="110" t="s">
        <v>64</v>
      </c>
      <c r="D18" s="110"/>
      <c r="E18" s="110"/>
    </row>
    <row r="19" spans="1:19" x14ac:dyDescent="0.3">
      <c r="B19" t="s">
        <v>76</v>
      </c>
      <c r="C19" t="s">
        <v>65</v>
      </c>
      <c r="D19" t="s">
        <v>66</v>
      </c>
      <c r="E19" t="s">
        <v>67</v>
      </c>
      <c r="F19" t="s">
        <v>73</v>
      </c>
      <c r="G19" t="s">
        <v>67</v>
      </c>
      <c r="H19" t="s">
        <v>9</v>
      </c>
      <c r="I19" t="s">
        <v>70</v>
      </c>
      <c r="J19" t="s">
        <v>71</v>
      </c>
      <c r="K19" t="s">
        <v>72</v>
      </c>
      <c r="S19" t="s">
        <v>75</v>
      </c>
    </row>
    <row r="20" spans="1:19" x14ac:dyDescent="0.3">
      <c r="A20" t="s">
        <v>59</v>
      </c>
      <c r="B20">
        <f>DATEDIF(Calculator!$D$8,D1,"y")</f>
        <v>70</v>
      </c>
      <c r="C20" t="b">
        <f>IF(AND(Calculator!$L$8="Yes",Sheet1!B24&lt;50,Sheet1!$F$17&lt;50),TRUE,FALSE)</f>
        <v>0</v>
      </c>
      <c r="D20" t="b">
        <f>IF(AND(Calculator!$L$8="Yes",Sheet1!$F$17&gt;=50,OR(F17&lt;70,F17&gt;79)),TRUE,FALSE)</f>
        <v>0</v>
      </c>
      <c r="E20" t="b">
        <f>IF(AND(Calculator!$L$8="Yes",Sheet1!$F$17&gt;=50,F17&gt;=70,F17&lt;=79),TRUE,FALSE)</f>
        <v>0</v>
      </c>
      <c r="F20" t="b">
        <f>IF(AND(Calculator!$L$8="No",Sheet1!$F$17=79),TRUE,FALSE)</f>
        <v>0</v>
      </c>
      <c r="G20" t="b">
        <f>IF(AND($H$5,Calculator!$L$8="No"),TRUE,FALSE)</f>
        <v>1</v>
      </c>
      <c r="H20" t="b">
        <f>IF(AND($H$6,Calculator!$L$8="No"),TRUE,FALSE)</f>
        <v>0</v>
      </c>
      <c r="I20" t="b">
        <f>IF(AND(B20&lt;=60,$F$17&lt;60,Calculator!$D$8&gt;=Sheet1!$G$37),TRUE,FALSE)</f>
        <v>0</v>
      </c>
      <c r="J20" t="b">
        <f>IF(AND(B20&lt;=65,$F$17&lt;65,Calculator!$D$8&gt;=Sheet1!$G$36,I20=FALSE),TRUE,FALSE)</f>
        <v>0</v>
      </c>
      <c r="K20" t="b">
        <f>IF(AND(B20&lt;71,$F$17&lt;70,Calculator!$D$8&lt;G36),TRUE,FALSE)</f>
        <v>0</v>
      </c>
      <c r="L20" t="str">
        <f>IF(C20,$S$20,IF(C24,$S$23,IF(D20,$S$27,IF(E20,$S$26,IF(F20,$S$24,IF(G20,$S$26,IF(H20,$S$26,IF(I20,$S$21,IF(J20,$S$22,IF(K20,$S$23,$S$25))))))))))</f>
        <v>Patient is eligible for vaccination (so long as they have not been vaccinated for Shingles previously) *</v>
      </c>
      <c r="R20">
        <v>50</v>
      </c>
      <c r="S20" t="str">
        <f>_xlfn.CONCAT("Patient will become eligible for vaccination on their 50th birthday on ",TEXT(DATE(YEAR(Calculator!D8)+50,MONTH(Calculator!D8),DAY(Calculator!D8)),"DD/MM/YYYY"))</f>
        <v>Patient will become eligible for vaccination on their 50th birthday on 01/09/2003</v>
      </c>
    </row>
    <row r="21" spans="1:19" x14ac:dyDescent="0.3">
      <c r="A21" t="s">
        <v>62</v>
      </c>
      <c r="B21">
        <f>DATEDIF(Calculator!$D$8,D12,"y")</f>
        <v>71</v>
      </c>
      <c r="C21" t="b">
        <f>IF(AND(Calculator!$L$8="Yes",OR(Sheet1!B25&lt;50,F17=49),Sheet1!$F$17&lt;50),TRUE,FALSE)</f>
        <v>0</v>
      </c>
      <c r="D21" t="b">
        <f>IF(AND(Calculator!$L$8="Yes",Sheet1!$F$17&gt;=50,OR(F17&lt;70,F17&gt;79)),TRUE,FALSE)</f>
        <v>0</v>
      </c>
      <c r="E21" t="b">
        <f>IF(AND(Calculator!$L$8="Yes",Sheet1!$F$17&gt;=50,F17&gt;=70,F17&lt;=79),TRUE,FALSE)</f>
        <v>0</v>
      </c>
      <c r="F21" t="b">
        <f>IF(AND(Calculator!$L$8="No",Sheet1!$F$17=79),TRUE,FALSE)</f>
        <v>0</v>
      </c>
      <c r="G21" t="b">
        <f>IF(AND($H$5,Calculator!$L$8="No"),TRUE,FALSE)</f>
        <v>1</v>
      </c>
      <c r="H21" t="b">
        <f>IF(AND($H$6,Calculator!$L$8="No"),TRUE,FALSE)</f>
        <v>0</v>
      </c>
      <c r="I21" t="b">
        <f>IF(AND(B21&lt;=60,$F$17&lt;60,Calculator!$D$8&gt;=Sheet1!$G$37),TRUE,FALSE)</f>
        <v>0</v>
      </c>
      <c r="J21" t="b">
        <f>IF(AND(B21&lt;=65,$F$17&lt;65,Calculator!$D$8&gt;=Sheet1!$G$36,I21=FALSE),TRUE,FALSE)</f>
        <v>0</v>
      </c>
      <c r="K21" t="b">
        <f>IF(AND(B21&lt;71,$F$17&lt;70,Calculator!$D$8&lt;G37,J21=FALSE),TRUE,FALSE)</f>
        <v>0</v>
      </c>
      <c r="L21" t="str">
        <f>IF(C21,$S$20,IF(D21,$S$26,IF(E21,$S$26,IF(F21,$S$24,IF(G21,$S$26,IF(H21,$S$26,IF(I21,$S$21,IF(J21,$S$22,IF(K21,$S$23,$S$25)))))))))</f>
        <v>Patient is eligible for vaccination (so long as they have not been vaccinated for Shingles previously) *</v>
      </c>
      <c r="R21">
        <v>60</v>
      </c>
      <c r="S21" t="str">
        <f>_xlfn.CONCAT("Patient will become eligible for vaccination on their 60th birthday on ",TEXT(DATE(YEAR(Calculator!D8)+60,MONTH(Calculator!D8),DAY(Calculator!D8)),"DD/MM/YYYY"))</f>
        <v>Patient will become eligible for vaccination on their 60th birthday on 01/09/2013</v>
      </c>
    </row>
    <row r="22" spans="1:19" x14ac:dyDescent="0.3">
      <c r="R22">
        <v>65</v>
      </c>
      <c r="S22" t="str">
        <f>_xlfn.CONCAT("Patient will become eligible for vaccination on their 65th birthday on ",TEXT(DATE(YEAR(Calculator!D8)+65,MONTH(Calculator!D8),DAY(Calculator!D8)),"DD/MM/YYYY"))</f>
        <v>Patient will become eligible for vaccination on their 65th birthday on 01/09/2018</v>
      </c>
    </row>
    <row r="23" spans="1:19" x14ac:dyDescent="0.3">
      <c r="B23" t="s">
        <v>63</v>
      </c>
      <c r="C23" t="s">
        <v>78</v>
      </c>
      <c r="R23">
        <v>70</v>
      </c>
      <c r="S23" t="str">
        <f>_xlfn.CONCAT("Patient will become eligible for vaccination on their 70th birthday on ",TEXT(DATE(YEAR(Calculator!D8)+70,MONTH(Calculator!D8),DAY(Calculator!D8)),"DD/MM/YYYY"))</f>
        <v>Patient will become eligible for vaccination on their 70th birthday on 01/09/2023</v>
      </c>
    </row>
    <row r="24" spans="1:19" x14ac:dyDescent="0.3">
      <c r="A24" t="s">
        <v>59</v>
      </c>
      <c r="B24">
        <f>DATEDIF(Calculator!$D$8,D1-1,"y")</f>
        <v>69</v>
      </c>
      <c r="C24" t="b">
        <f>AND(F17=69,B24=70)</f>
        <v>0</v>
      </c>
      <c r="R24">
        <v>80</v>
      </c>
      <c r="S24" t="str">
        <f>_xlfn.CONCAT("Patient will remain eligible for first dose of vaccine until their 80th birthday on ",TEXT(DATE(YEAR(Calculator!D8)+80,MONTH(Calculator!D8),DAY(Calculator!D8)),"DD/MM/YYYY"))</f>
        <v>Patient will remain eligible for first dose of vaccine until their 80th birthday on 01/09/2033</v>
      </c>
    </row>
    <row r="25" spans="1:19" x14ac:dyDescent="0.3">
      <c r="A25" t="s">
        <v>62</v>
      </c>
      <c r="B25">
        <f>DATEDIF(Calculator!$D$8,D12-1,"y")</f>
        <v>70</v>
      </c>
      <c r="S25" t="str">
        <f>_xlfn.CONCAT("Patient stopped being eligible to start Shingles vaccination from their 80th birthday on ",TEXT(DATE(YEAR(Calculator!D8)+80,MONTH(Calculator!D8),DAY(Calculator!D8)),"DD/MM/YYYY"))</f>
        <v>Patient stopped being eligible to start Shingles vaccination from their 80th birthday on 01/09/2033</v>
      </c>
    </row>
    <row r="26" spans="1:19" x14ac:dyDescent="0.3">
      <c r="S26" t="s">
        <v>79</v>
      </c>
    </row>
    <row r="27" spans="1:19" x14ac:dyDescent="0.3">
      <c r="S27" t="s">
        <v>60</v>
      </c>
    </row>
    <row r="33" spans="1:7" x14ac:dyDescent="0.3">
      <c r="B33" s="1">
        <v>44805</v>
      </c>
    </row>
    <row r="34" spans="1:7" x14ac:dyDescent="0.3">
      <c r="A34" s="1">
        <v>44804</v>
      </c>
      <c r="B34" s="1">
        <v>45170</v>
      </c>
      <c r="C34" t="s">
        <v>59</v>
      </c>
      <c r="E34" s="1">
        <f>Calculator!H8</f>
        <v>45170</v>
      </c>
      <c r="F34" t="str">
        <f>IF(AND(A34&lt;E34,E34&lt;B34),C34,"Ongoing")</f>
        <v>Ongoing</v>
      </c>
    </row>
    <row r="35" spans="1:7" x14ac:dyDescent="0.3">
      <c r="A35" s="1">
        <v>45169</v>
      </c>
      <c r="B35" s="1">
        <v>45536</v>
      </c>
      <c r="C35" t="s">
        <v>0</v>
      </c>
    </row>
    <row r="36" spans="1:7" x14ac:dyDescent="0.3">
      <c r="A36" s="1">
        <v>45535</v>
      </c>
      <c r="B36" s="1">
        <v>45901</v>
      </c>
      <c r="C36" t="s">
        <v>1</v>
      </c>
      <c r="F36" t="s">
        <v>68</v>
      </c>
      <c r="G36" s="1">
        <v>21429</v>
      </c>
    </row>
    <row r="37" spans="1:7" x14ac:dyDescent="0.3">
      <c r="A37" s="1">
        <v>45900</v>
      </c>
      <c r="B37" s="1">
        <v>46266</v>
      </c>
      <c r="C37" t="s">
        <v>2</v>
      </c>
      <c r="F37" t="s">
        <v>69</v>
      </c>
      <c r="G37" s="1">
        <v>25082</v>
      </c>
    </row>
    <row r="38" spans="1:7" x14ac:dyDescent="0.3">
      <c r="A38" s="1">
        <v>46265</v>
      </c>
      <c r="B38" s="1">
        <v>46631</v>
      </c>
      <c r="C38" t="s">
        <v>3</v>
      </c>
    </row>
    <row r="39" spans="1:7" x14ac:dyDescent="0.3">
      <c r="A39" s="1">
        <v>46630</v>
      </c>
      <c r="B39" s="1">
        <v>46997</v>
      </c>
      <c r="C39" t="s">
        <v>4</v>
      </c>
      <c r="F39" t="str">
        <f>IF(AND(A34&lt;E34,E34&lt;B34),C34,
IF(AND(A35&lt;E34,E34&lt;B35),C35,
IF(AND(A36&lt;E34,E34&lt;B36),C36,
IF(AND(A37&lt;E34,E34&lt;B37),C37,
IF(AND(A38&lt;E34,E34&lt;B38),C38,
IF(AND(A39&lt;E34,E34&lt;B39),C39,
IF(AND(A40&lt;E34,E34&lt;B40),C40,
IF(AND(A41&lt;E34,E34&lt;B41),C41,
IF(AND(A42&lt;E34,E34&lt;B42),C42,
IF(AND(A43&lt;E34,E34&lt;B43),C43,
IF(AND(A44&lt;E34,E34&lt;B44),C44,"Ongoing")))))))))))</f>
        <v>2023-24</v>
      </c>
    </row>
    <row r="40" spans="1:7" x14ac:dyDescent="0.3">
      <c r="A40" s="1">
        <v>46996</v>
      </c>
      <c r="B40" s="1">
        <v>47362</v>
      </c>
      <c r="C40" t="s">
        <v>13</v>
      </c>
    </row>
    <row r="41" spans="1:7" x14ac:dyDescent="0.3">
      <c r="A41" s="1">
        <v>47361</v>
      </c>
      <c r="B41" s="1">
        <v>47727</v>
      </c>
      <c r="C41" t="s">
        <v>14</v>
      </c>
    </row>
    <row r="42" spans="1:7" x14ac:dyDescent="0.3">
      <c r="A42" s="1">
        <v>47726</v>
      </c>
      <c r="B42" s="1">
        <v>48092</v>
      </c>
      <c r="C42" t="s">
        <v>15</v>
      </c>
    </row>
    <row r="43" spans="1:7" x14ac:dyDescent="0.3">
      <c r="A43" s="1">
        <v>48091</v>
      </c>
      <c r="B43" s="1">
        <v>48458</v>
      </c>
      <c r="C43" t="s">
        <v>16</v>
      </c>
    </row>
    <row r="44" spans="1:7" x14ac:dyDescent="0.3">
      <c r="A44" s="1">
        <v>48457</v>
      </c>
      <c r="B44" s="1">
        <v>48823</v>
      </c>
      <c r="C44" t="s">
        <v>17</v>
      </c>
    </row>
    <row r="46" spans="1:7" x14ac:dyDescent="0.3">
      <c r="A46" t="s">
        <v>59</v>
      </c>
      <c r="B46" t="e">
        <f>IF(AND(B20&lt;=50,$F$17=50,Calculator!L8="Yes"),$S$27,IF(AND(B20&lt;50,Calculator!$L$8="Yes"),$S$20,IF(AND(B20&gt;50,Calculator!$L$8="Yes"),$S$27,IF(B20&lt;#REF!,$S$21,IF(B20&lt;#REF!,$S$22,IF(AND(B20&lt;=#REF!,F17=69),$S$23,IF(B20=79,$S$24,IF(B20&gt;80,$S$25,$S$26))))))))</f>
        <v>#REF!</v>
      </c>
    </row>
    <row r="47" spans="1:7" x14ac:dyDescent="0.3">
      <c r="A47" t="s">
        <v>0</v>
      </c>
      <c r="B47" t="e">
        <f>IF(AND(#REF!&lt;=50,Calculator!$L$8="Yes"),$S$20,IF(AND(#REF!&gt;50,Calculator!$L$8="Yes`"),$S$19,IF(#REF!&lt;#REF!,$S$21,IF(AND(#REF!&lt;=#REF!,$F$17=#REF!),$S$26,IF(#REF!&lt;=#REF!,$S$22,IF(AND(#REF!&gt;#REF!,#REF!&lt;=#REF!),$S$23,IF(#REF!=79,$S$24,IF(AND(#REF!&gt;79,$F$17=79),Sheet1!$S$24,IF(#REF!&gt;80,$S$25,$S$26)))))))))</f>
        <v>#REF!</v>
      </c>
    </row>
    <row r="48" spans="1:7" x14ac:dyDescent="0.3">
      <c r="A48" t="s">
        <v>1</v>
      </c>
      <c r="B48" t="e">
        <f>IF(AND(#REF!&lt;=50,Calculator!$L$8="Yes"),$S$20,IF(AND(#REF!&gt;50,Calculator!$L$8="Yes`"),$S$19,IF(#REF!&lt;#REF!,$S$21,IF(AND(#REF!&lt;=B22,$F$17=B22),$S$19,IF(#REF!&lt;=B22,$S$22,IF(AND(#REF!&gt;C22,#REF!&lt;=#REF!),$S$23,IF(#REF!=79,$S$24,IF(AND(#REF!&gt;79,$F$17=79),Sheet1!$S$24,IF(#REF!&gt;80,$S$25,$S$26)))))))))</f>
        <v>#REF!</v>
      </c>
    </row>
    <row r="49" spans="1:2" x14ac:dyDescent="0.3">
      <c r="A49" t="s">
        <v>2</v>
      </c>
      <c r="B49" t="str">
        <f>IF(AND(F23&lt;=50,Calculator!$L$8="Yes"),$S$20,IF(AND(F23&gt;50,Calculator!$L$8="Yes`"),$S$19,IF(F23&lt;E23,$S$21,IF(AND(F23&lt;=B23,$F$17=B23),$S$19,IF(F23&lt;=B23,$S$22,IF(AND(F23&gt;C23,F23&lt;=D23),$S$23,IF(F23=79,$S$24,IF(AND(F23&gt;79,$F$17=79),Sheet1!$S$24,IF(F23&gt;80,$S$25,$S$26)))))))))</f>
        <v>Patient will become eligible for vaccination on their 65th birthday on 01/09/2018</v>
      </c>
    </row>
    <row r="50" spans="1:2" x14ac:dyDescent="0.3">
      <c r="A50" t="s">
        <v>3</v>
      </c>
      <c r="B50" t="str">
        <f>IF(AND(F24&lt;=50,Calculator!$L$8="Yes"),$S$20,IF(AND(F24&gt;50,Calculator!$L$8="Yes`"),$S$19,IF(F24&lt;E24,$S$21,IF(AND(F24&lt;=B24,$F$17=B24),$S$19,IF(F24&lt;=B24,$S$22,IF(AND(F24&gt;C24,F24&lt;=D24),$S$23,IF(F24=79,$S$24,IF(AND(F24&gt;79,$F$17=79),Sheet1!$S$24,IF(F24&gt;80,$S$25,$S$26)))))))))</f>
        <v>Patient will become eligible for vaccination on their 65th birthday on 01/09/2018</v>
      </c>
    </row>
    <row r="51" spans="1:2" x14ac:dyDescent="0.3">
      <c r="A51" t="s">
        <v>4</v>
      </c>
      <c r="B51" t="str">
        <f>IF(AND(F25&lt;=50,Calculator!$L$8="Yes"),$S$20,IF(AND(F25&gt;50,Calculator!$L$8="Yes`"),$S$19,IF(F25&lt;E25,$S$21,IF(AND(F25&lt;=B25,$F$17=B25),$S$19,IF(F25&lt;=B25,$S$22,IF(AND(F25&gt;C25,F25&lt;=D25),$S$23,IF(F25=79,$S$24,IF(AND(F25&gt;79,$F$17=79),Sheet1!$S$24,IF(F25&gt;80,$S$25,$S$26)))))))))</f>
        <v>Patient is eligible for vaccination (UNLESS they have been vaccinated for Shingles previously)</v>
      </c>
    </row>
    <row r="52" spans="1:2" x14ac:dyDescent="0.3">
      <c r="A52" t="s">
        <v>13</v>
      </c>
      <c r="B52" t="str">
        <f>IF(AND(F26&lt;=50,$F$17=50,Calculator!$L$8="Yes"),$S$19,IF(AND(F26&lt;=50,Calculator!$L$8="Yes"),$S$20,IF(AND(F26&gt;50,Calculator!$L$8="Yes"),$S$19,IF(F26&lt;56,$S$21,IF(AND(F26&lt;=B26,$F$17=60),$S$19,IF(F26&lt;=B26,$S$21,IF(AND(F26&gt;C26,F26&lt;=D26),$S$23,IF(F26=79,$S$24,IF(AND(F26&gt;79,$F$17=79),Sheet1!$S$24,IF(F26&gt;80,$S$25,$S$26))))))))))</f>
        <v>Patient will become eligible for vaccination on their 60th birthday on 01/09/2013</v>
      </c>
    </row>
    <row r="53" spans="1:2" x14ac:dyDescent="0.3">
      <c r="A53" t="s">
        <v>14</v>
      </c>
      <c r="B53" t="str">
        <f>IF(AND(F27&lt;=50,$F$17=50,Calculator!$L$8="Yes"),$S$19,IF(AND(F27&lt;=50,Calculator!$L$8="Yes"),$S$20,IF(AND(F27&gt;50,Calculator!$L$8="Yes"),$S$19,IF(F27&lt;56,$S$21,IF(AND(F27&lt;=B27,$F$17=60),$S$19,IF(F27&lt;=B27,$S$21,IF(AND(F27&gt;C27,F27&lt;=D27),$S$23,IF(F27=79,$S$24,IF(AND(F27&gt;79,$F$17=79),Sheet1!$S$24,IF(F27&gt;80,$S$25,$S$26))))))))))</f>
        <v>Patient will become eligible for vaccination on their 60th birthday on 01/09/2013</v>
      </c>
    </row>
    <row r="54" spans="1:2" x14ac:dyDescent="0.3">
      <c r="A54" t="s">
        <v>15</v>
      </c>
      <c r="B54" t="str">
        <f>IF(AND(F28&lt;=50,$F$17=50,Calculator!$L$8="Yes"),$S$19,IF(AND(F28&lt;=50,Calculator!$L$8="Yes"),$S$20,IF(AND(F28&gt;50,Calculator!$L$8="Yes"),$S$19,IF(F28&lt;56,$S$21,IF(AND(F28&lt;=B28,$F$17=60),$S$19,IF(F28&lt;=B28,$S$21,IF(AND(F28&gt;C28,F28&lt;=D28),$S$23,IF(F28=79,$S$24,IF(AND(F28&gt;79,$F$17=79),Sheet1!$S$24,IF(F28&gt;80,$S$25,$S$26))))))))))</f>
        <v>Patient will become eligible for vaccination on their 60th birthday on 01/09/2013</v>
      </c>
    </row>
    <row r="55" spans="1:2" x14ac:dyDescent="0.3">
      <c r="A55" t="s">
        <v>16</v>
      </c>
      <c r="B55" t="str">
        <f>IF(AND(F29&lt;=50,$F$17=50,Calculator!$L$8="Yes"),$S$19,IF(AND(F29&lt;=50,Calculator!$L$8="Yes"),$S$20,IF(AND(F29&gt;50,Calculator!$L$8="Yes"),$S$19,IF(F29&lt;56,$S$21,IF(AND(F29&lt;=B29,$F$17=60),$S$19,IF(F29&lt;=B29,$S$21,IF(AND(F29&gt;C29,F29&lt;=D29),$S$23,IF(F29=79,$S$24,IF(AND(F29&gt;79,$F$17=79),Sheet1!$S$24,IF(F29&gt;80,$S$25,$S$26))))))))))</f>
        <v>Patient will become eligible for vaccination on their 60th birthday on 01/09/2013</v>
      </c>
    </row>
    <row r="56" spans="1:2" x14ac:dyDescent="0.3">
      <c r="A56" t="s">
        <v>17</v>
      </c>
      <c r="B56" t="str">
        <f>IF(AND(F30&lt;=50,$F$17=50,Calculator!$L$8="Yes"),$S$19,IF(AND(F30&lt;=50,Calculator!$L$8="Yes"),$S$20,IF(AND(F30&gt;50,Calculator!$L$8="Yes"),$S$19,IF(F30&lt;56,$S$21,IF(AND(F30&lt;=B30,$F$17=60),$S$19,IF(F30&lt;=B30,$S$21,IF(AND(F30&gt;C30,F30&lt;=D30),$S$23,IF(F30=79,$S$24,IF(AND(F30&gt;79,$F$17=79),Sheet1!$S$24,IF(F30&gt;80,$S$25,$S$26))))))))))</f>
        <v>Patient will become eligible for vaccination on their 60th birthday on 01/09/2013</v>
      </c>
    </row>
    <row r="57" spans="1:2" x14ac:dyDescent="0.3">
      <c r="A57" t="s">
        <v>62</v>
      </c>
      <c r="B57" t="str">
        <f>IF(AND(B21&lt;=50,$F$17=50,Calculator!$L$8="Yes"),$S$19,IF(AND(B21&lt;=50,Calculator!$L$8="Yes"),$S$20,IF(AND(B21&gt;50,Calculator!$L$8="Yes"),$S$19,IF(AND(B21&lt;60,F17=60),$S$26,IF(B21&lt;60,$S$21,IF(AND(B21=79,F17=80),S25,IF(B21&gt;=80,$S$25,$S$26)))))))</f>
        <v>Patient is eligible for vaccination (so long as they have not been vaccinated for Shingles previously) *</v>
      </c>
    </row>
  </sheetData>
  <mergeCells count="1">
    <mergeCell ref="C18:E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Calculator</vt:lpstr>
      <vt:lpstr>2nd Dose Due</vt:lpstr>
      <vt:lpstr>Cohort Eligible</vt:lpstr>
      <vt:lpstr>Summary of Changes</vt:lpstr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Yves-Pearl Hurley</cp:lastModifiedBy>
  <dcterms:created xsi:type="dcterms:W3CDTF">2023-05-24T14:20:32Z</dcterms:created>
  <dcterms:modified xsi:type="dcterms:W3CDTF">2023-08-31T09:02:14Z</dcterms:modified>
</cp:coreProperties>
</file>